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FIJA NOV. 2023" sheetId="1" r:id="rId1"/>
  </sheets>
  <definedNames>
    <definedName name="_xlnm._FilterDatabase" localSheetId="0" hidden="1">'NOMINA FIJA NOV. 2023'!$A$15:$AE$634</definedName>
    <definedName name="_xlnm.Print_Area" localSheetId="0">'NOMINA FIJA NOV. 2023'!$A$1:$AE$783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6" i="1" l="1"/>
  <c r="M636" i="1"/>
  <c r="K368" i="1"/>
  <c r="H636" i="1"/>
  <c r="G636" i="1"/>
  <c r="F636" i="1"/>
  <c r="L460" i="1"/>
  <c r="S460" i="1" s="1"/>
  <c r="K460" i="1"/>
  <c r="Q460" i="1" s="1"/>
  <c r="L309" i="1"/>
  <c r="S309" i="1" s="1"/>
  <c r="K309" i="1"/>
  <c r="Q309" i="1" s="1"/>
  <c r="L129" i="1"/>
  <c r="S129" i="1" s="1"/>
  <c r="K129" i="1"/>
  <c r="R129" i="1" s="1"/>
  <c r="T129" i="1" s="1"/>
  <c r="L452" i="1"/>
  <c r="S452" i="1" s="1"/>
  <c r="K452" i="1"/>
  <c r="Q452" i="1" s="1"/>
  <c r="L540" i="1"/>
  <c r="S540" i="1" s="1"/>
  <c r="K540" i="1"/>
  <c r="Q540" i="1" s="1"/>
  <c r="L332" i="1"/>
  <c r="S332" i="1" s="1"/>
  <c r="K332" i="1"/>
  <c r="R332" i="1" s="1"/>
  <c r="T332" i="1" s="1"/>
  <c r="K507" i="1"/>
  <c r="R507" i="1" s="1"/>
  <c r="T507" i="1" s="1"/>
  <c r="L507" i="1"/>
  <c r="S507" i="1" s="1"/>
  <c r="I636" i="1"/>
  <c r="Q507" i="1" l="1"/>
  <c r="R460" i="1"/>
  <c r="T460" i="1" s="1"/>
  <c r="R309" i="1"/>
  <c r="T309" i="1" s="1"/>
  <c r="Q129" i="1"/>
  <c r="R452" i="1"/>
  <c r="T452" i="1" s="1"/>
  <c r="R540" i="1"/>
  <c r="T540" i="1" s="1"/>
  <c r="Q332" i="1"/>
  <c r="J633" i="1"/>
  <c r="J632" i="1"/>
  <c r="J628" i="1"/>
  <c r="J627" i="1"/>
  <c r="J622" i="1"/>
  <c r="J616" i="1"/>
  <c r="J615" i="1"/>
  <c r="J608" i="1"/>
  <c r="J605" i="1"/>
  <c r="J603" i="1"/>
  <c r="J595" i="1"/>
  <c r="J594" i="1"/>
  <c r="J591" i="1"/>
  <c r="J589" i="1"/>
  <c r="J586" i="1"/>
  <c r="J585" i="1"/>
  <c r="J572" i="1"/>
  <c r="J568" i="1"/>
  <c r="J563" i="1"/>
  <c r="J553" i="1"/>
  <c r="J545" i="1"/>
  <c r="J541" i="1"/>
  <c r="J523" i="1"/>
  <c r="J514" i="1"/>
  <c r="J511" i="1"/>
  <c r="J504" i="1"/>
  <c r="J503" i="1"/>
  <c r="J496" i="1"/>
  <c r="J481" i="1"/>
  <c r="J480" i="1"/>
  <c r="J468" i="1"/>
  <c r="J462" i="1"/>
  <c r="J456" i="1"/>
  <c r="J451" i="1"/>
  <c r="J447" i="1"/>
  <c r="J445" i="1"/>
  <c r="J441" i="1"/>
  <c r="J435" i="1"/>
  <c r="J434" i="1"/>
  <c r="J426" i="1"/>
  <c r="J422" i="1"/>
  <c r="J420" i="1"/>
  <c r="J412" i="1"/>
  <c r="J401" i="1"/>
  <c r="J391" i="1"/>
  <c r="J390" i="1"/>
  <c r="J381" i="1"/>
  <c r="J380" i="1"/>
  <c r="J376" i="1"/>
  <c r="J366" i="1"/>
  <c r="J364" i="1"/>
  <c r="J357" i="1"/>
  <c r="J356" i="1"/>
  <c r="J351" i="1"/>
  <c r="J347" i="1"/>
  <c r="J342" i="1"/>
  <c r="J341" i="1"/>
  <c r="J340" i="1"/>
  <c r="J339" i="1"/>
  <c r="J338" i="1"/>
  <c r="J334" i="1"/>
  <c r="J326" i="1"/>
  <c r="J322" i="1"/>
  <c r="J320" i="1"/>
  <c r="J318" i="1"/>
  <c r="J313" i="1"/>
  <c r="J311" i="1"/>
  <c r="J302" i="1"/>
  <c r="J300" i="1"/>
  <c r="J297" i="1"/>
  <c r="J296" i="1"/>
  <c r="J284" i="1"/>
  <c r="J283" i="1"/>
  <c r="J281" i="1"/>
  <c r="J280" i="1"/>
  <c r="J276" i="1"/>
  <c r="J273" i="1"/>
  <c r="J270" i="1"/>
  <c r="J263" i="1"/>
  <c r="J256" i="1"/>
  <c r="J254" i="1"/>
  <c r="J247" i="1"/>
  <c r="J246" i="1"/>
  <c r="J244" i="1"/>
  <c r="J238" i="1"/>
  <c r="J237" i="1"/>
  <c r="J235" i="1"/>
  <c r="J230" i="1"/>
  <c r="J226" i="1"/>
  <c r="J221" i="1"/>
  <c r="J220" i="1"/>
  <c r="J214" i="1"/>
  <c r="J213" i="1"/>
  <c r="J204" i="1"/>
  <c r="J201" i="1"/>
  <c r="J197" i="1"/>
  <c r="J193" i="1"/>
  <c r="J191" i="1"/>
  <c r="J190" i="1"/>
  <c r="J177" i="1"/>
  <c r="J172" i="1"/>
  <c r="J166" i="1"/>
  <c r="J160" i="1"/>
  <c r="J159" i="1"/>
  <c r="J156" i="1"/>
  <c r="J151" i="1"/>
  <c r="J149" i="1"/>
  <c r="J141" i="1"/>
  <c r="J139" i="1"/>
  <c r="J128" i="1"/>
  <c r="J119" i="1"/>
  <c r="J117" i="1"/>
  <c r="J114" i="1"/>
  <c r="J112" i="1"/>
  <c r="J108" i="1"/>
  <c r="J107" i="1"/>
  <c r="J97" i="1"/>
  <c r="J85" i="1"/>
  <c r="J78" i="1"/>
  <c r="J66" i="1"/>
  <c r="J65" i="1"/>
  <c r="J63" i="1"/>
  <c r="J56" i="1"/>
  <c r="J55" i="1"/>
  <c r="J53" i="1"/>
  <c r="J50" i="1"/>
  <c r="J49" i="1"/>
  <c r="J46" i="1"/>
  <c r="J42" i="1"/>
  <c r="J41" i="1"/>
  <c r="J35" i="1"/>
  <c r="J34" i="1"/>
  <c r="J33" i="1"/>
  <c r="J30" i="1"/>
  <c r="J29" i="1"/>
  <c r="J26" i="1"/>
  <c r="J25" i="1"/>
  <c r="L633" i="1" l="1"/>
  <c r="S633" i="1" s="1"/>
  <c r="K633" i="1"/>
  <c r="L632" i="1"/>
  <c r="S632" i="1" s="1"/>
  <c r="K632" i="1"/>
  <c r="Q632" i="1" s="1"/>
  <c r="L631" i="1"/>
  <c r="S631" i="1" s="1"/>
  <c r="K631" i="1"/>
  <c r="R631" i="1" s="1"/>
  <c r="T631" i="1" s="1"/>
  <c r="L630" i="1"/>
  <c r="S630" i="1" s="1"/>
  <c r="K630" i="1"/>
  <c r="R630" i="1" s="1"/>
  <c r="T630" i="1" s="1"/>
  <c r="L629" i="1"/>
  <c r="S629" i="1" s="1"/>
  <c r="K629" i="1"/>
  <c r="R629" i="1" s="1"/>
  <c r="T629" i="1" s="1"/>
  <c r="L628" i="1"/>
  <c r="S628" i="1" s="1"/>
  <c r="K628" i="1"/>
  <c r="Q628" i="1" s="1"/>
  <c r="L627" i="1"/>
  <c r="S627" i="1" s="1"/>
  <c r="K627" i="1"/>
  <c r="Q627" i="1" s="1"/>
  <c r="L626" i="1"/>
  <c r="S626" i="1" s="1"/>
  <c r="K626" i="1"/>
  <c r="Q626" i="1" s="1"/>
  <c r="L625" i="1"/>
  <c r="S625" i="1" s="1"/>
  <c r="K625" i="1"/>
  <c r="L624" i="1"/>
  <c r="S624" i="1" s="1"/>
  <c r="K624" i="1"/>
  <c r="L623" i="1"/>
  <c r="S623" i="1" s="1"/>
  <c r="K623" i="1"/>
  <c r="L622" i="1"/>
  <c r="S622" i="1" s="1"/>
  <c r="K622" i="1"/>
  <c r="Q622" i="1" s="1"/>
  <c r="O621" i="1"/>
  <c r="O636" i="1" s="1"/>
  <c r="L621" i="1"/>
  <c r="K621" i="1"/>
  <c r="L620" i="1"/>
  <c r="S620" i="1" s="1"/>
  <c r="K620" i="1"/>
  <c r="L619" i="1"/>
  <c r="S619" i="1" s="1"/>
  <c r="K619" i="1"/>
  <c r="L618" i="1"/>
  <c r="S618" i="1" s="1"/>
  <c r="K618" i="1"/>
  <c r="Q618" i="1" s="1"/>
  <c r="L617" i="1"/>
  <c r="S617" i="1" s="1"/>
  <c r="K617" i="1"/>
  <c r="R617" i="1" s="1"/>
  <c r="T617" i="1" s="1"/>
  <c r="L616" i="1"/>
  <c r="S616" i="1" s="1"/>
  <c r="K616" i="1"/>
  <c r="Q616" i="1" s="1"/>
  <c r="L615" i="1"/>
  <c r="S615" i="1" s="1"/>
  <c r="K615" i="1"/>
  <c r="Q615" i="1" s="1"/>
  <c r="L614" i="1"/>
  <c r="S614" i="1" s="1"/>
  <c r="K614" i="1"/>
  <c r="L613" i="1"/>
  <c r="S613" i="1" s="1"/>
  <c r="K613" i="1"/>
  <c r="L612" i="1"/>
  <c r="S612" i="1" s="1"/>
  <c r="K612" i="1"/>
  <c r="R612" i="1" s="1"/>
  <c r="T612" i="1" s="1"/>
  <c r="L611" i="1"/>
  <c r="S611" i="1" s="1"/>
  <c r="K611" i="1"/>
  <c r="Q611" i="1" s="1"/>
  <c r="J611" i="1"/>
  <c r="L610" i="1"/>
  <c r="S610" i="1" s="1"/>
  <c r="K610" i="1"/>
  <c r="Q610" i="1" s="1"/>
  <c r="L609" i="1"/>
  <c r="S609" i="1" s="1"/>
  <c r="K609" i="1"/>
  <c r="L608" i="1"/>
  <c r="S608" i="1" s="1"/>
  <c r="K608" i="1"/>
  <c r="Q608" i="1" s="1"/>
  <c r="L607" i="1"/>
  <c r="S607" i="1" s="1"/>
  <c r="K607" i="1"/>
  <c r="R607" i="1" s="1"/>
  <c r="T607" i="1" s="1"/>
  <c r="L605" i="1"/>
  <c r="S605" i="1" s="1"/>
  <c r="K605" i="1"/>
  <c r="Q605" i="1" s="1"/>
  <c r="L604" i="1"/>
  <c r="S604" i="1" s="1"/>
  <c r="K604" i="1"/>
  <c r="Q604" i="1" s="1"/>
  <c r="L603" i="1"/>
  <c r="S603" i="1" s="1"/>
  <c r="K603" i="1"/>
  <c r="Q603" i="1" s="1"/>
  <c r="L602" i="1"/>
  <c r="S602" i="1" s="1"/>
  <c r="K602" i="1"/>
  <c r="L601" i="1"/>
  <c r="S601" i="1" s="1"/>
  <c r="K601" i="1"/>
  <c r="R601" i="1" s="1"/>
  <c r="T601" i="1" s="1"/>
  <c r="L600" i="1"/>
  <c r="S600" i="1" s="1"/>
  <c r="K600" i="1"/>
  <c r="R600" i="1" s="1"/>
  <c r="T600" i="1" s="1"/>
  <c r="L599" i="1"/>
  <c r="S599" i="1" s="1"/>
  <c r="K599" i="1"/>
  <c r="R599" i="1" s="1"/>
  <c r="T599" i="1" s="1"/>
  <c r="L598" i="1"/>
  <c r="S598" i="1" s="1"/>
  <c r="K598" i="1"/>
  <c r="L597" i="1"/>
  <c r="S597" i="1" s="1"/>
  <c r="K597" i="1"/>
  <c r="Q597" i="1" s="1"/>
  <c r="J597" i="1"/>
  <c r="L596" i="1"/>
  <c r="S596" i="1" s="1"/>
  <c r="K596" i="1"/>
  <c r="Q596" i="1" s="1"/>
  <c r="L595" i="1"/>
  <c r="S595" i="1" s="1"/>
  <c r="K595" i="1"/>
  <c r="L594" i="1"/>
  <c r="S594" i="1" s="1"/>
  <c r="K594" i="1"/>
  <c r="L593" i="1"/>
  <c r="S593" i="1" s="1"/>
  <c r="K593" i="1"/>
  <c r="L592" i="1"/>
  <c r="S592" i="1" s="1"/>
  <c r="K592" i="1"/>
  <c r="L591" i="1"/>
  <c r="S591" i="1" s="1"/>
  <c r="K591" i="1"/>
  <c r="Q591" i="1" s="1"/>
  <c r="L590" i="1"/>
  <c r="S590" i="1" s="1"/>
  <c r="K590" i="1"/>
  <c r="L589" i="1"/>
  <c r="S589" i="1" s="1"/>
  <c r="K589" i="1"/>
  <c r="Q589" i="1" s="1"/>
  <c r="L588" i="1"/>
  <c r="S588" i="1" s="1"/>
  <c r="K588" i="1"/>
  <c r="L587" i="1"/>
  <c r="S587" i="1" s="1"/>
  <c r="K587" i="1"/>
  <c r="L586" i="1"/>
  <c r="S586" i="1" s="1"/>
  <c r="K586" i="1"/>
  <c r="Q586" i="1" s="1"/>
  <c r="L585" i="1"/>
  <c r="S585" i="1" s="1"/>
  <c r="K585" i="1"/>
  <c r="Q585" i="1" s="1"/>
  <c r="L584" i="1"/>
  <c r="S584" i="1" s="1"/>
  <c r="K584" i="1"/>
  <c r="R584" i="1" s="1"/>
  <c r="T584" i="1" s="1"/>
  <c r="L583" i="1"/>
  <c r="S583" i="1" s="1"/>
  <c r="K583" i="1"/>
  <c r="L582" i="1"/>
  <c r="S582" i="1" s="1"/>
  <c r="K582" i="1"/>
  <c r="R582" i="1" s="1"/>
  <c r="T582" i="1" s="1"/>
  <c r="L581" i="1"/>
  <c r="S581" i="1" s="1"/>
  <c r="K581" i="1"/>
  <c r="Q581" i="1" s="1"/>
  <c r="L580" i="1"/>
  <c r="S580" i="1" s="1"/>
  <c r="K580" i="1"/>
  <c r="L579" i="1"/>
  <c r="S579" i="1" s="1"/>
  <c r="K579" i="1"/>
  <c r="R579" i="1" s="1"/>
  <c r="T579" i="1" s="1"/>
  <c r="L578" i="1"/>
  <c r="S578" i="1" s="1"/>
  <c r="K578" i="1"/>
  <c r="Q578" i="1" s="1"/>
  <c r="L577" i="1"/>
  <c r="S577" i="1" s="1"/>
  <c r="K577" i="1"/>
  <c r="R577" i="1" s="1"/>
  <c r="T577" i="1" s="1"/>
  <c r="L576" i="1"/>
  <c r="S576" i="1" s="1"/>
  <c r="K576" i="1"/>
  <c r="R576" i="1" s="1"/>
  <c r="T576" i="1" s="1"/>
  <c r="L575" i="1"/>
  <c r="S575" i="1" s="1"/>
  <c r="K575" i="1"/>
  <c r="L574" i="1"/>
  <c r="S574" i="1" s="1"/>
  <c r="K574" i="1"/>
  <c r="R574" i="1" s="1"/>
  <c r="T574" i="1" s="1"/>
  <c r="L573" i="1"/>
  <c r="S573" i="1" s="1"/>
  <c r="K573" i="1"/>
  <c r="Q573" i="1" s="1"/>
  <c r="L572" i="1"/>
  <c r="S572" i="1" s="1"/>
  <c r="K572" i="1"/>
  <c r="Q572" i="1" s="1"/>
  <c r="L571" i="1"/>
  <c r="S571" i="1" s="1"/>
  <c r="K571" i="1"/>
  <c r="Q571" i="1" s="1"/>
  <c r="L570" i="1"/>
  <c r="S570" i="1" s="1"/>
  <c r="K570" i="1"/>
  <c r="L569" i="1"/>
  <c r="S569" i="1" s="1"/>
  <c r="K569" i="1"/>
  <c r="L568" i="1"/>
  <c r="S568" i="1" s="1"/>
  <c r="K568" i="1"/>
  <c r="Q568" i="1" s="1"/>
  <c r="L567" i="1"/>
  <c r="S567" i="1" s="1"/>
  <c r="K567" i="1"/>
  <c r="R567" i="1" s="1"/>
  <c r="T567" i="1" s="1"/>
  <c r="L566" i="1"/>
  <c r="S566" i="1" s="1"/>
  <c r="K566" i="1"/>
  <c r="R566" i="1" s="1"/>
  <c r="T566" i="1" s="1"/>
  <c r="L565" i="1"/>
  <c r="S565" i="1" s="1"/>
  <c r="K565" i="1"/>
  <c r="Q565" i="1" s="1"/>
  <c r="L564" i="1"/>
  <c r="S564" i="1" s="1"/>
  <c r="K564" i="1"/>
  <c r="Q564" i="1" s="1"/>
  <c r="L563" i="1"/>
  <c r="S563" i="1" s="1"/>
  <c r="K563" i="1"/>
  <c r="L562" i="1"/>
  <c r="S562" i="1" s="1"/>
  <c r="K562" i="1"/>
  <c r="R562" i="1" s="1"/>
  <c r="T562" i="1" s="1"/>
  <c r="L561" i="1"/>
  <c r="S561" i="1" s="1"/>
  <c r="K561" i="1"/>
  <c r="Q561" i="1" s="1"/>
  <c r="L560" i="1"/>
  <c r="S560" i="1" s="1"/>
  <c r="K560" i="1"/>
  <c r="R560" i="1" s="1"/>
  <c r="T560" i="1" s="1"/>
  <c r="L559" i="1"/>
  <c r="S559" i="1" s="1"/>
  <c r="K559" i="1"/>
  <c r="R559" i="1" s="1"/>
  <c r="T559" i="1" s="1"/>
  <c r="L558" i="1"/>
  <c r="S558" i="1" s="1"/>
  <c r="K558" i="1"/>
  <c r="R558" i="1" s="1"/>
  <c r="T558" i="1" s="1"/>
  <c r="L557" i="1"/>
  <c r="S557" i="1" s="1"/>
  <c r="K557" i="1"/>
  <c r="L556" i="1"/>
  <c r="S556" i="1" s="1"/>
  <c r="K556" i="1"/>
  <c r="R556" i="1" s="1"/>
  <c r="T556" i="1" s="1"/>
  <c r="L555" i="1"/>
  <c r="S555" i="1" s="1"/>
  <c r="K555" i="1"/>
  <c r="R555" i="1" s="1"/>
  <c r="T555" i="1" s="1"/>
  <c r="L554" i="1"/>
  <c r="S554" i="1" s="1"/>
  <c r="K554" i="1"/>
  <c r="L553" i="1"/>
  <c r="S553" i="1" s="1"/>
  <c r="K553" i="1"/>
  <c r="Q553" i="1" s="1"/>
  <c r="L552" i="1"/>
  <c r="S552" i="1" s="1"/>
  <c r="K552" i="1"/>
  <c r="Q552" i="1" s="1"/>
  <c r="L551" i="1"/>
  <c r="S551" i="1" s="1"/>
  <c r="K551" i="1"/>
  <c r="L550" i="1"/>
  <c r="S550" i="1" s="1"/>
  <c r="K550" i="1"/>
  <c r="R550" i="1" s="1"/>
  <c r="T550" i="1" s="1"/>
  <c r="L549" i="1"/>
  <c r="S549" i="1" s="1"/>
  <c r="K549" i="1"/>
  <c r="L548" i="1"/>
  <c r="S548" i="1" s="1"/>
  <c r="K548" i="1"/>
  <c r="Q548" i="1" s="1"/>
  <c r="L547" i="1"/>
  <c r="S547" i="1" s="1"/>
  <c r="K547" i="1"/>
  <c r="R547" i="1" s="1"/>
  <c r="T547" i="1" s="1"/>
  <c r="L546" i="1"/>
  <c r="S546" i="1" s="1"/>
  <c r="K546" i="1"/>
  <c r="L545" i="1"/>
  <c r="S545" i="1" s="1"/>
  <c r="K545" i="1"/>
  <c r="R545" i="1" s="1"/>
  <c r="T545" i="1" s="1"/>
  <c r="L544" i="1"/>
  <c r="S544" i="1" s="1"/>
  <c r="K544" i="1"/>
  <c r="L543" i="1"/>
  <c r="S543" i="1" s="1"/>
  <c r="K543" i="1"/>
  <c r="L542" i="1"/>
  <c r="S542" i="1" s="1"/>
  <c r="K542" i="1"/>
  <c r="Q542" i="1" s="1"/>
  <c r="L541" i="1"/>
  <c r="S541" i="1" s="1"/>
  <c r="K541" i="1"/>
  <c r="R541" i="1" s="1"/>
  <c r="T541" i="1" s="1"/>
  <c r="L539" i="1"/>
  <c r="S539" i="1" s="1"/>
  <c r="K539" i="1"/>
  <c r="L538" i="1"/>
  <c r="S538" i="1" s="1"/>
  <c r="K538" i="1"/>
  <c r="L537" i="1"/>
  <c r="S537" i="1" s="1"/>
  <c r="K537" i="1"/>
  <c r="R537" i="1" s="1"/>
  <c r="T537" i="1" s="1"/>
  <c r="L536" i="1"/>
  <c r="S536" i="1" s="1"/>
  <c r="K536" i="1"/>
  <c r="R536" i="1" s="1"/>
  <c r="T536" i="1" s="1"/>
  <c r="L535" i="1"/>
  <c r="S535" i="1" s="1"/>
  <c r="K535" i="1"/>
  <c r="R535" i="1" s="1"/>
  <c r="T535" i="1" s="1"/>
  <c r="L534" i="1"/>
  <c r="S534" i="1" s="1"/>
  <c r="K534" i="1"/>
  <c r="Q534" i="1" s="1"/>
  <c r="J534" i="1"/>
  <c r="L533" i="1"/>
  <c r="S533" i="1" s="1"/>
  <c r="K533" i="1"/>
  <c r="Q533" i="1" s="1"/>
  <c r="L532" i="1"/>
  <c r="S532" i="1" s="1"/>
  <c r="K532" i="1"/>
  <c r="Q532" i="1" s="1"/>
  <c r="L531" i="1"/>
  <c r="S531" i="1" s="1"/>
  <c r="K531" i="1"/>
  <c r="R531" i="1" s="1"/>
  <c r="T531" i="1" s="1"/>
  <c r="L530" i="1"/>
  <c r="S530" i="1" s="1"/>
  <c r="K530" i="1"/>
  <c r="L529" i="1"/>
  <c r="S529" i="1" s="1"/>
  <c r="K529" i="1"/>
  <c r="R529" i="1" s="1"/>
  <c r="T529" i="1" s="1"/>
  <c r="L528" i="1"/>
  <c r="S528" i="1" s="1"/>
  <c r="K528" i="1"/>
  <c r="Q528" i="1" s="1"/>
  <c r="L527" i="1"/>
  <c r="S527" i="1" s="1"/>
  <c r="K527" i="1"/>
  <c r="Q527" i="1" s="1"/>
  <c r="L526" i="1"/>
  <c r="S526" i="1" s="1"/>
  <c r="K526" i="1"/>
  <c r="R526" i="1" s="1"/>
  <c r="T526" i="1" s="1"/>
  <c r="L525" i="1"/>
  <c r="S525" i="1" s="1"/>
  <c r="K525" i="1"/>
  <c r="Q525" i="1" s="1"/>
  <c r="L524" i="1"/>
  <c r="S524" i="1" s="1"/>
  <c r="K524" i="1"/>
  <c r="J524" i="1"/>
  <c r="L523" i="1"/>
  <c r="S523" i="1" s="1"/>
  <c r="K523" i="1"/>
  <c r="Q523" i="1" s="1"/>
  <c r="L522" i="1"/>
  <c r="S522" i="1" s="1"/>
  <c r="K522" i="1"/>
  <c r="L521" i="1"/>
  <c r="S521" i="1" s="1"/>
  <c r="K521" i="1"/>
  <c r="R521" i="1" s="1"/>
  <c r="T521" i="1" s="1"/>
  <c r="L520" i="1"/>
  <c r="S520" i="1" s="1"/>
  <c r="K520" i="1"/>
  <c r="Q520" i="1" s="1"/>
  <c r="L519" i="1"/>
  <c r="S519" i="1" s="1"/>
  <c r="K519" i="1"/>
  <c r="R519" i="1" s="1"/>
  <c r="T519" i="1" s="1"/>
  <c r="L518" i="1"/>
  <c r="S518" i="1" s="1"/>
  <c r="K518" i="1"/>
  <c r="Q518" i="1" s="1"/>
  <c r="J518" i="1"/>
  <c r="L517" i="1"/>
  <c r="S517" i="1" s="1"/>
  <c r="K517" i="1"/>
  <c r="Q517" i="1" s="1"/>
  <c r="J517" i="1"/>
  <c r="L516" i="1"/>
  <c r="S516" i="1" s="1"/>
  <c r="K516" i="1"/>
  <c r="R516" i="1" s="1"/>
  <c r="T516" i="1" s="1"/>
  <c r="L515" i="1"/>
  <c r="S515" i="1" s="1"/>
  <c r="K515" i="1"/>
  <c r="Q515" i="1" s="1"/>
  <c r="L514" i="1"/>
  <c r="S514" i="1" s="1"/>
  <c r="K514" i="1"/>
  <c r="R514" i="1" s="1"/>
  <c r="T514" i="1" s="1"/>
  <c r="L513" i="1"/>
  <c r="S513" i="1" s="1"/>
  <c r="K513" i="1"/>
  <c r="R513" i="1" s="1"/>
  <c r="T513" i="1" s="1"/>
  <c r="L512" i="1"/>
  <c r="S512" i="1" s="1"/>
  <c r="K512" i="1"/>
  <c r="L511" i="1"/>
  <c r="S511" i="1" s="1"/>
  <c r="K511" i="1"/>
  <c r="L510" i="1"/>
  <c r="S510" i="1" s="1"/>
  <c r="K510" i="1"/>
  <c r="Q510" i="1" s="1"/>
  <c r="L509" i="1"/>
  <c r="S509" i="1" s="1"/>
  <c r="K509" i="1"/>
  <c r="L508" i="1"/>
  <c r="S508" i="1" s="1"/>
  <c r="K508" i="1"/>
  <c r="Q508" i="1" s="1"/>
  <c r="L506" i="1"/>
  <c r="S506" i="1" s="1"/>
  <c r="K506" i="1"/>
  <c r="L505" i="1"/>
  <c r="S505" i="1" s="1"/>
  <c r="K505" i="1"/>
  <c r="R505" i="1" s="1"/>
  <c r="T505" i="1" s="1"/>
  <c r="L504" i="1"/>
  <c r="S504" i="1" s="1"/>
  <c r="K504" i="1"/>
  <c r="Q504" i="1" s="1"/>
  <c r="L503" i="1"/>
  <c r="S503" i="1" s="1"/>
  <c r="K503" i="1"/>
  <c r="Q503" i="1" s="1"/>
  <c r="L502" i="1"/>
  <c r="S502" i="1" s="1"/>
  <c r="K502" i="1"/>
  <c r="R502" i="1" s="1"/>
  <c r="T502" i="1" s="1"/>
  <c r="L501" i="1"/>
  <c r="S501" i="1" s="1"/>
  <c r="K501" i="1"/>
  <c r="L500" i="1"/>
  <c r="S500" i="1" s="1"/>
  <c r="K500" i="1"/>
  <c r="R500" i="1" s="1"/>
  <c r="T500" i="1" s="1"/>
  <c r="L499" i="1"/>
  <c r="S499" i="1" s="1"/>
  <c r="K499" i="1"/>
  <c r="Q499" i="1" s="1"/>
  <c r="L498" i="1"/>
  <c r="S498" i="1" s="1"/>
  <c r="K498" i="1"/>
  <c r="R498" i="1" s="1"/>
  <c r="T498" i="1" s="1"/>
  <c r="L497" i="1"/>
  <c r="S497" i="1" s="1"/>
  <c r="K497" i="1"/>
  <c r="R497" i="1" s="1"/>
  <c r="T497" i="1" s="1"/>
  <c r="L496" i="1"/>
  <c r="S496" i="1" s="1"/>
  <c r="K496" i="1"/>
  <c r="Q496" i="1" s="1"/>
  <c r="L495" i="1"/>
  <c r="S495" i="1" s="1"/>
  <c r="K495" i="1"/>
  <c r="R495" i="1" s="1"/>
  <c r="T495" i="1" s="1"/>
  <c r="L494" i="1"/>
  <c r="S494" i="1" s="1"/>
  <c r="K494" i="1"/>
  <c r="R494" i="1" s="1"/>
  <c r="T494" i="1" s="1"/>
  <c r="L493" i="1"/>
  <c r="S493" i="1" s="1"/>
  <c r="K493" i="1"/>
  <c r="R493" i="1" s="1"/>
  <c r="T493" i="1" s="1"/>
  <c r="L492" i="1"/>
  <c r="S492" i="1" s="1"/>
  <c r="K492" i="1"/>
  <c r="Q492" i="1" s="1"/>
  <c r="J492" i="1"/>
  <c r="L491" i="1"/>
  <c r="S491" i="1" s="1"/>
  <c r="K491" i="1"/>
  <c r="Q491" i="1" s="1"/>
  <c r="L490" i="1"/>
  <c r="S490" i="1" s="1"/>
  <c r="K490" i="1"/>
  <c r="Q490" i="1" s="1"/>
  <c r="L489" i="1"/>
  <c r="S489" i="1" s="1"/>
  <c r="K489" i="1"/>
  <c r="R489" i="1" s="1"/>
  <c r="T489" i="1" s="1"/>
  <c r="L488" i="1"/>
  <c r="S488" i="1" s="1"/>
  <c r="K488" i="1"/>
  <c r="L487" i="1"/>
  <c r="S487" i="1" s="1"/>
  <c r="K487" i="1"/>
  <c r="R487" i="1" s="1"/>
  <c r="T487" i="1" s="1"/>
  <c r="L486" i="1"/>
  <c r="S486" i="1" s="1"/>
  <c r="K486" i="1"/>
  <c r="Q486" i="1" s="1"/>
  <c r="L485" i="1"/>
  <c r="S485" i="1" s="1"/>
  <c r="K485" i="1"/>
  <c r="Q485" i="1" s="1"/>
  <c r="L484" i="1"/>
  <c r="S484" i="1" s="1"/>
  <c r="K484" i="1"/>
  <c r="R484" i="1" s="1"/>
  <c r="T484" i="1" s="1"/>
  <c r="L483" i="1"/>
  <c r="S483" i="1" s="1"/>
  <c r="K483" i="1"/>
  <c r="Q483" i="1" s="1"/>
  <c r="L482" i="1"/>
  <c r="S482" i="1" s="1"/>
  <c r="K482" i="1"/>
  <c r="R482" i="1" s="1"/>
  <c r="T482" i="1" s="1"/>
  <c r="L481" i="1"/>
  <c r="S481" i="1" s="1"/>
  <c r="K481" i="1"/>
  <c r="Q481" i="1" s="1"/>
  <c r="L480" i="1"/>
  <c r="S480" i="1" s="1"/>
  <c r="K480" i="1"/>
  <c r="Q480" i="1" s="1"/>
  <c r="L479" i="1"/>
  <c r="S479" i="1" s="1"/>
  <c r="K479" i="1"/>
  <c r="Q479" i="1" s="1"/>
  <c r="L478" i="1"/>
  <c r="S478" i="1" s="1"/>
  <c r="K478" i="1"/>
  <c r="Q478" i="1" s="1"/>
  <c r="L477" i="1"/>
  <c r="S477" i="1" s="1"/>
  <c r="K477" i="1"/>
  <c r="Q477" i="1" s="1"/>
  <c r="J477" i="1"/>
  <c r="L476" i="1"/>
  <c r="S476" i="1" s="1"/>
  <c r="K476" i="1"/>
  <c r="L475" i="1"/>
  <c r="S475" i="1" s="1"/>
  <c r="K475" i="1"/>
  <c r="R475" i="1" s="1"/>
  <c r="T475" i="1" s="1"/>
  <c r="L474" i="1"/>
  <c r="S474" i="1" s="1"/>
  <c r="K474" i="1"/>
  <c r="L473" i="1"/>
  <c r="S473" i="1" s="1"/>
  <c r="K473" i="1"/>
  <c r="R473" i="1" s="1"/>
  <c r="T473" i="1" s="1"/>
  <c r="L472" i="1"/>
  <c r="S472" i="1" s="1"/>
  <c r="K472" i="1"/>
  <c r="R472" i="1" s="1"/>
  <c r="T472" i="1" s="1"/>
  <c r="L471" i="1"/>
  <c r="S471" i="1" s="1"/>
  <c r="K471" i="1"/>
  <c r="Q471" i="1" s="1"/>
  <c r="L470" i="1"/>
  <c r="S470" i="1" s="1"/>
  <c r="K470" i="1"/>
  <c r="L469" i="1"/>
  <c r="S469" i="1" s="1"/>
  <c r="K469" i="1"/>
  <c r="R469" i="1" s="1"/>
  <c r="T469" i="1" s="1"/>
  <c r="L468" i="1"/>
  <c r="S468" i="1" s="1"/>
  <c r="K468" i="1"/>
  <c r="R468" i="1" s="1"/>
  <c r="T468" i="1" s="1"/>
  <c r="L467" i="1"/>
  <c r="S467" i="1" s="1"/>
  <c r="K467" i="1"/>
  <c r="R467" i="1" s="1"/>
  <c r="T467" i="1" s="1"/>
  <c r="L466" i="1"/>
  <c r="S466" i="1" s="1"/>
  <c r="K466" i="1"/>
  <c r="R466" i="1" s="1"/>
  <c r="T466" i="1" s="1"/>
  <c r="L465" i="1"/>
  <c r="S465" i="1" s="1"/>
  <c r="K465" i="1"/>
  <c r="Q465" i="1" s="1"/>
  <c r="L464" i="1"/>
  <c r="S464" i="1" s="1"/>
  <c r="K464" i="1"/>
  <c r="Q464" i="1" s="1"/>
  <c r="L463" i="1"/>
  <c r="S463" i="1" s="1"/>
  <c r="K463" i="1"/>
  <c r="R463" i="1" s="1"/>
  <c r="T463" i="1" s="1"/>
  <c r="L462" i="1"/>
  <c r="S462" i="1" s="1"/>
  <c r="K462" i="1"/>
  <c r="Q462" i="1" s="1"/>
  <c r="L461" i="1"/>
  <c r="S461" i="1" s="1"/>
  <c r="K461" i="1"/>
  <c r="Q461" i="1" s="1"/>
  <c r="J461" i="1"/>
  <c r="L459" i="1"/>
  <c r="S459" i="1" s="1"/>
  <c r="K459" i="1"/>
  <c r="Q459" i="1" s="1"/>
  <c r="L458" i="1"/>
  <c r="S458" i="1" s="1"/>
  <c r="K458" i="1"/>
  <c r="R458" i="1" s="1"/>
  <c r="T458" i="1" s="1"/>
  <c r="L457" i="1"/>
  <c r="S457" i="1" s="1"/>
  <c r="K457" i="1"/>
  <c r="R457" i="1" s="1"/>
  <c r="T457" i="1" s="1"/>
  <c r="L456" i="1"/>
  <c r="S456" i="1" s="1"/>
  <c r="K456" i="1"/>
  <c r="Q456" i="1" s="1"/>
  <c r="L455" i="1"/>
  <c r="S455" i="1" s="1"/>
  <c r="K455" i="1"/>
  <c r="R455" i="1" s="1"/>
  <c r="T455" i="1" s="1"/>
  <c r="L454" i="1"/>
  <c r="S454" i="1" s="1"/>
  <c r="K454" i="1"/>
  <c r="R454" i="1" s="1"/>
  <c r="T454" i="1" s="1"/>
  <c r="L453" i="1"/>
  <c r="S453" i="1" s="1"/>
  <c r="K453" i="1"/>
  <c r="Q453" i="1" s="1"/>
  <c r="L451" i="1"/>
  <c r="S451" i="1" s="1"/>
  <c r="K451" i="1"/>
  <c r="Q451" i="1" s="1"/>
  <c r="L450" i="1"/>
  <c r="S450" i="1" s="1"/>
  <c r="K450" i="1"/>
  <c r="L449" i="1"/>
  <c r="S449" i="1" s="1"/>
  <c r="K449" i="1"/>
  <c r="Q449" i="1" s="1"/>
  <c r="L448" i="1"/>
  <c r="S448" i="1" s="1"/>
  <c r="K448" i="1"/>
  <c r="Q448" i="1" s="1"/>
  <c r="L447" i="1"/>
  <c r="S447" i="1" s="1"/>
  <c r="K447" i="1"/>
  <c r="Q447" i="1" s="1"/>
  <c r="L446" i="1"/>
  <c r="S446" i="1" s="1"/>
  <c r="K446" i="1"/>
  <c r="L445" i="1"/>
  <c r="S445" i="1" s="1"/>
  <c r="K445" i="1"/>
  <c r="Q445" i="1" s="1"/>
  <c r="L444" i="1"/>
  <c r="S444" i="1" s="1"/>
  <c r="K444" i="1"/>
  <c r="Q444" i="1" s="1"/>
  <c r="L443" i="1"/>
  <c r="S443" i="1" s="1"/>
  <c r="K443" i="1"/>
  <c r="Q443" i="1" s="1"/>
  <c r="J443" i="1"/>
  <c r="L442" i="1"/>
  <c r="S442" i="1" s="1"/>
  <c r="K442" i="1"/>
  <c r="R442" i="1" s="1"/>
  <c r="T442" i="1" s="1"/>
  <c r="L441" i="1"/>
  <c r="S441" i="1" s="1"/>
  <c r="K441" i="1"/>
  <c r="Q441" i="1" s="1"/>
  <c r="L440" i="1"/>
  <c r="S440" i="1" s="1"/>
  <c r="K440" i="1"/>
  <c r="Q440" i="1" s="1"/>
  <c r="J440" i="1"/>
  <c r="L439" i="1"/>
  <c r="S439" i="1" s="1"/>
  <c r="K439" i="1"/>
  <c r="R439" i="1" s="1"/>
  <c r="T439" i="1" s="1"/>
  <c r="L438" i="1"/>
  <c r="S438" i="1" s="1"/>
  <c r="K438" i="1"/>
  <c r="R438" i="1" s="1"/>
  <c r="T438" i="1" s="1"/>
  <c r="L437" i="1"/>
  <c r="S437" i="1" s="1"/>
  <c r="K437" i="1"/>
  <c r="R437" i="1" s="1"/>
  <c r="T437" i="1" s="1"/>
  <c r="L436" i="1"/>
  <c r="S436" i="1" s="1"/>
  <c r="K436" i="1"/>
  <c r="L435" i="1"/>
  <c r="S435" i="1" s="1"/>
  <c r="K435" i="1"/>
  <c r="Q435" i="1" s="1"/>
  <c r="L434" i="1"/>
  <c r="S434" i="1" s="1"/>
  <c r="K434" i="1"/>
  <c r="Q434" i="1" s="1"/>
  <c r="L433" i="1"/>
  <c r="S433" i="1" s="1"/>
  <c r="K433" i="1"/>
  <c r="Q433" i="1" s="1"/>
  <c r="L432" i="1"/>
  <c r="S432" i="1" s="1"/>
  <c r="K432" i="1"/>
  <c r="R432" i="1" s="1"/>
  <c r="T432" i="1" s="1"/>
  <c r="L431" i="1"/>
  <c r="S431" i="1" s="1"/>
  <c r="K431" i="1"/>
  <c r="L430" i="1"/>
  <c r="S430" i="1" s="1"/>
  <c r="K430" i="1"/>
  <c r="L429" i="1"/>
  <c r="S429" i="1" s="1"/>
  <c r="K429" i="1"/>
  <c r="Q429" i="1" s="1"/>
  <c r="L428" i="1"/>
  <c r="S428" i="1" s="1"/>
  <c r="K428" i="1"/>
  <c r="R428" i="1" s="1"/>
  <c r="T428" i="1" s="1"/>
  <c r="L427" i="1"/>
  <c r="S427" i="1" s="1"/>
  <c r="K427" i="1"/>
  <c r="Q427" i="1" s="1"/>
  <c r="L426" i="1"/>
  <c r="S426" i="1" s="1"/>
  <c r="K426" i="1"/>
  <c r="Q426" i="1" s="1"/>
  <c r="L425" i="1"/>
  <c r="S425" i="1" s="1"/>
  <c r="K425" i="1"/>
  <c r="R425" i="1" s="1"/>
  <c r="T425" i="1" s="1"/>
  <c r="L424" i="1"/>
  <c r="S424" i="1" s="1"/>
  <c r="K424" i="1"/>
  <c r="R424" i="1" s="1"/>
  <c r="T424" i="1" s="1"/>
  <c r="L423" i="1"/>
  <c r="S423" i="1" s="1"/>
  <c r="K423" i="1"/>
  <c r="L422" i="1"/>
  <c r="S422" i="1" s="1"/>
  <c r="K422" i="1"/>
  <c r="Q422" i="1" s="1"/>
  <c r="L421" i="1"/>
  <c r="S421" i="1" s="1"/>
  <c r="K421" i="1"/>
  <c r="R421" i="1" s="1"/>
  <c r="T421" i="1" s="1"/>
  <c r="L420" i="1"/>
  <c r="S420" i="1" s="1"/>
  <c r="K420" i="1"/>
  <c r="Q420" i="1" s="1"/>
  <c r="L419" i="1"/>
  <c r="S419" i="1" s="1"/>
  <c r="K419" i="1"/>
  <c r="R419" i="1" s="1"/>
  <c r="T419" i="1" s="1"/>
  <c r="L418" i="1"/>
  <c r="S418" i="1" s="1"/>
  <c r="K418" i="1"/>
  <c r="L417" i="1"/>
  <c r="S417" i="1" s="1"/>
  <c r="K417" i="1"/>
  <c r="R417" i="1" s="1"/>
  <c r="T417" i="1" s="1"/>
  <c r="L416" i="1"/>
  <c r="S416" i="1" s="1"/>
  <c r="K416" i="1"/>
  <c r="Q416" i="1" s="1"/>
  <c r="L415" i="1"/>
  <c r="S415" i="1" s="1"/>
  <c r="K415" i="1"/>
  <c r="L414" i="1"/>
  <c r="S414" i="1" s="1"/>
  <c r="K414" i="1"/>
  <c r="L413" i="1"/>
  <c r="S413" i="1" s="1"/>
  <c r="K413" i="1"/>
  <c r="Q413" i="1" s="1"/>
  <c r="L412" i="1"/>
  <c r="S412" i="1" s="1"/>
  <c r="K412" i="1"/>
  <c r="Q412" i="1" s="1"/>
  <c r="L411" i="1"/>
  <c r="S411" i="1" s="1"/>
  <c r="K411" i="1"/>
  <c r="R411" i="1" s="1"/>
  <c r="T411" i="1" s="1"/>
  <c r="L410" i="1"/>
  <c r="S410" i="1" s="1"/>
  <c r="K410" i="1"/>
  <c r="R410" i="1" s="1"/>
  <c r="T410" i="1" s="1"/>
  <c r="L409" i="1"/>
  <c r="S409" i="1" s="1"/>
  <c r="K409" i="1"/>
  <c r="L408" i="1"/>
  <c r="S408" i="1" s="1"/>
  <c r="K408" i="1"/>
  <c r="R408" i="1" s="1"/>
  <c r="T408" i="1" s="1"/>
  <c r="L407" i="1"/>
  <c r="S407" i="1" s="1"/>
  <c r="K407" i="1"/>
  <c r="Q407" i="1" s="1"/>
  <c r="L406" i="1"/>
  <c r="S406" i="1" s="1"/>
  <c r="K406" i="1"/>
  <c r="R406" i="1" s="1"/>
  <c r="T406" i="1" s="1"/>
  <c r="L405" i="1"/>
  <c r="S405" i="1" s="1"/>
  <c r="K405" i="1"/>
  <c r="L404" i="1"/>
  <c r="S404" i="1" s="1"/>
  <c r="K404" i="1"/>
  <c r="R404" i="1" s="1"/>
  <c r="T404" i="1" s="1"/>
  <c r="L403" i="1"/>
  <c r="S403" i="1" s="1"/>
  <c r="K403" i="1"/>
  <c r="L402" i="1"/>
  <c r="S402" i="1" s="1"/>
  <c r="K402" i="1"/>
  <c r="R402" i="1" s="1"/>
  <c r="T402" i="1" s="1"/>
  <c r="L401" i="1"/>
  <c r="S401" i="1" s="1"/>
  <c r="K401" i="1"/>
  <c r="Q401" i="1" s="1"/>
  <c r="L400" i="1"/>
  <c r="S400" i="1" s="1"/>
  <c r="K400" i="1"/>
  <c r="Q400" i="1" s="1"/>
  <c r="L399" i="1"/>
  <c r="S399" i="1" s="1"/>
  <c r="K399" i="1"/>
  <c r="Q399" i="1" s="1"/>
  <c r="L398" i="1"/>
  <c r="S398" i="1" s="1"/>
  <c r="K398" i="1"/>
  <c r="Q398" i="1" s="1"/>
  <c r="L397" i="1"/>
  <c r="S397" i="1" s="1"/>
  <c r="K397" i="1"/>
  <c r="L396" i="1"/>
  <c r="S396" i="1" s="1"/>
  <c r="K396" i="1"/>
  <c r="R396" i="1" s="1"/>
  <c r="T396" i="1" s="1"/>
  <c r="L395" i="1"/>
  <c r="S395" i="1" s="1"/>
  <c r="K395" i="1"/>
  <c r="Q395" i="1" s="1"/>
  <c r="L394" i="1"/>
  <c r="S394" i="1" s="1"/>
  <c r="K394" i="1"/>
  <c r="R394" i="1" s="1"/>
  <c r="T394" i="1" s="1"/>
  <c r="L393" i="1"/>
  <c r="S393" i="1" s="1"/>
  <c r="K393" i="1"/>
  <c r="R393" i="1" s="1"/>
  <c r="T393" i="1" s="1"/>
  <c r="L392" i="1"/>
  <c r="S392" i="1" s="1"/>
  <c r="K392" i="1"/>
  <c r="Q392" i="1" s="1"/>
  <c r="L391" i="1"/>
  <c r="S391" i="1" s="1"/>
  <c r="K391" i="1"/>
  <c r="Q391" i="1" s="1"/>
  <c r="L390" i="1"/>
  <c r="S390" i="1" s="1"/>
  <c r="K390" i="1"/>
  <c r="L389" i="1"/>
  <c r="S389" i="1" s="1"/>
  <c r="K389" i="1"/>
  <c r="L388" i="1"/>
  <c r="S388" i="1" s="1"/>
  <c r="K388" i="1"/>
  <c r="R388" i="1" s="1"/>
  <c r="T388" i="1" s="1"/>
  <c r="L387" i="1"/>
  <c r="S387" i="1" s="1"/>
  <c r="K387" i="1"/>
  <c r="Q387" i="1" s="1"/>
  <c r="L386" i="1"/>
  <c r="S386" i="1" s="1"/>
  <c r="K386" i="1"/>
  <c r="R386" i="1" s="1"/>
  <c r="T386" i="1" s="1"/>
  <c r="L385" i="1"/>
  <c r="S385" i="1" s="1"/>
  <c r="K385" i="1"/>
  <c r="R385" i="1" s="1"/>
  <c r="T385" i="1" s="1"/>
  <c r="L384" i="1"/>
  <c r="S384" i="1" s="1"/>
  <c r="K384" i="1"/>
  <c r="L383" i="1"/>
  <c r="S383" i="1" s="1"/>
  <c r="K383" i="1"/>
  <c r="L382" i="1"/>
  <c r="S382" i="1" s="1"/>
  <c r="K382" i="1"/>
  <c r="Q382" i="1" s="1"/>
  <c r="L381" i="1"/>
  <c r="S381" i="1" s="1"/>
  <c r="K381" i="1"/>
  <c r="L380" i="1"/>
  <c r="S380" i="1" s="1"/>
  <c r="K380" i="1"/>
  <c r="L379" i="1"/>
  <c r="S379" i="1" s="1"/>
  <c r="K379" i="1"/>
  <c r="L378" i="1"/>
  <c r="S378" i="1" s="1"/>
  <c r="K378" i="1"/>
  <c r="R378" i="1" s="1"/>
  <c r="T378" i="1" s="1"/>
  <c r="L377" i="1"/>
  <c r="S377" i="1" s="1"/>
  <c r="K377" i="1"/>
  <c r="Q377" i="1" s="1"/>
  <c r="L376" i="1"/>
  <c r="S376" i="1" s="1"/>
  <c r="K376" i="1"/>
  <c r="R376" i="1" s="1"/>
  <c r="T376" i="1" s="1"/>
  <c r="L375" i="1"/>
  <c r="S375" i="1" s="1"/>
  <c r="K375" i="1"/>
  <c r="Q375" i="1" s="1"/>
  <c r="L374" i="1"/>
  <c r="S374" i="1" s="1"/>
  <c r="K374" i="1"/>
  <c r="R374" i="1" s="1"/>
  <c r="T374" i="1" s="1"/>
  <c r="L373" i="1"/>
  <c r="S373" i="1" s="1"/>
  <c r="K373" i="1"/>
  <c r="Q373" i="1" s="1"/>
  <c r="L372" i="1"/>
  <c r="S372" i="1" s="1"/>
  <c r="K372" i="1"/>
  <c r="R372" i="1" s="1"/>
  <c r="T372" i="1" s="1"/>
  <c r="L371" i="1"/>
  <c r="S371" i="1" s="1"/>
  <c r="K371" i="1"/>
  <c r="R371" i="1" s="1"/>
  <c r="T371" i="1" s="1"/>
  <c r="L370" i="1"/>
  <c r="S370" i="1" s="1"/>
  <c r="K370" i="1"/>
  <c r="R370" i="1" s="1"/>
  <c r="T370" i="1" s="1"/>
  <c r="L369" i="1"/>
  <c r="S369" i="1" s="1"/>
  <c r="K369" i="1"/>
  <c r="Q369" i="1" s="1"/>
  <c r="L368" i="1"/>
  <c r="S368" i="1" s="1"/>
  <c r="R368" i="1"/>
  <c r="T368" i="1" s="1"/>
  <c r="L367" i="1"/>
  <c r="S367" i="1" s="1"/>
  <c r="K367" i="1"/>
  <c r="L366" i="1"/>
  <c r="S366" i="1" s="1"/>
  <c r="K366" i="1"/>
  <c r="Q366" i="1" s="1"/>
  <c r="L365" i="1"/>
  <c r="S365" i="1" s="1"/>
  <c r="K365" i="1"/>
  <c r="Q365" i="1" s="1"/>
  <c r="L364" i="1"/>
  <c r="S364" i="1" s="1"/>
  <c r="K364" i="1"/>
  <c r="Q364" i="1" s="1"/>
  <c r="L363" i="1"/>
  <c r="S363" i="1" s="1"/>
  <c r="K363" i="1"/>
  <c r="L362" i="1"/>
  <c r="S362" i="1" s="1"/>
  <c r="K362" i="1"/>
  <c r="R362" i="1" s="1"/>
  <c r="T362" i="1" s="1"/>
  <c r="L361" i="1"/>
  <c r="S361" i="1" s="1"/>
  <c r="K361" i="1"/>
  <c r="R361" i="1" s="1"/>
  <c r="T361" i="1" s="1"/>
  <c r="L360" i="1"/>
  <c r="S360" i="1" s="1"/>
  <c r="K360" i="1"/>
  <c r="L359" i="1"/>
  <c r="S359" i="1" s="1"/>
  <c r="K359" i="1"/>
  <c r="L358" i="1"/>
  <c r="S358" i="1" s="1"/>
  <c r="K358" i="1"/>
  <c r="J358" i="1"/>
  <c r="L357" i="1"/>
  <c r="S357" i="1" s="1"/>
  <c r="K357" i="1"/>
  <c r="Q357" i="1" s="1"/>
  <c r="L356" i="1"/>
  <c r="S356" i="1" s="1"/>
  <c r="K356" i="1"/>
  <c r="Q356" i="1" s="1"/>
  <c r="L355" i="1"/>
  <c r="S355" i="1" s="1"/>
  <c r="K355" i="1"/>
  <c r="Q355" i="1" s="1"/>
  <c r="L354" i="1"/>
  <c r="S354" i="1" s="1"/>
  <c r="K354" i="1"/>
  <c r="R354" i="1" s="1"/>
  <c r="T354" i="1" s="1"/>
  <c r="L353" i="1"/>
  <c r="S353" i="1" s="1"/>
  <c r="K353" i="1"/>
  <c r="R353" i="1" s="1"/>
  <c r="T353" i="1" s="1"/>
  <c r="L352" i="1"/>
  <c r="S352" i="1" s="1"/>
  <c r="K352" i="1"/>
  <c r="Q352" i="1" s="1"/>
  <c r="L351" i="1"/>
  <c r="S351" i="1" s="1"/>
  <c r="K351" i="1"/>
  <c r="Q351" i="1" s="1"/>
  <c r="L350" i="1"/>
  <c r="S350" i="1" s="1"/>
  <c r="K350" i="1"/>
  <c r="R350" i="1" s="1"/>
  <c r="T350" i="1" s="1"/>
  <c r="L349" i="1"/>
  <c r="S349" i="1" s="1"/>
  <c r="K349" i="1"/>
  <c r="L348" i="1"/>
  <c r="S348" i="1" s="1"/>
  <c r="K348" i="1"/>
  <c r="Q348" i="1" s="1"/>
  <c r="L347" i="1"/>
  <c r="S347" i="1" s="1"/>
  <c r="K347" i="1"/>
  <c r="Q347" i="1" s="1"/>
  <c r="L346" i="1"/>
  <c r="S346" i="1" s="1"/>
  <c r="K346" i="1"/>
  <c r="Q346" i="1" s="1"/>
  <c r="L345" i="1"/>
  <c r="S345" i="1" s="1"/>
  <c r="K345" i="1"/>
  <c r="R345" i="1" s="1"/>
  <c r="T345" i="1" s="1"/>
  <c r="L344" i="1"/>
  <c r="S344" i="1" s="1"/>
  <c r="K344" i="1"/>
  <c r="Q344" i="1" s="1"/>
  <c r="L343" i="1"/>
  <c r="S343" i="1" s="1"/>
  <c r="K343" i="1"/>
  <c r="L342" i="1"/>
  <c r="S342" i="1" s="1"/>
  <c r="K342" i="1"/>
  <c r="Q342" i="1" s="1"/>
  <c r="L341" i="1"/>
  <c r="S341" i="1" s="1"/>
  <c r="K341" i="1"/>
  <c r="Q341" i="1" s="1"/>
  <c r="L340" i="1"/>
  <c r="S340" i="1" s="1"/>
  <c r="K340" i="1"/>
  <c r="Q340" i="1" s="1"/>
  <c r="L339" i="1"/>
  <c r="S339" i="1" s="1"/>
  <c r="K339" i="1"/>
  <c r="Q339" i="1" s="1"/>
  <c r="L338" i="1"/>
  <c r="S338" i="1" s="1"/>
  <c r="K338" i="1"/>
  <c r="L337" i="1"/>
  <c r="S337" i="1" s="1"/>
  <c r="K337" i="1"/>
  <c r="L336" i="1"/>
  <c r="S336" i="1" s="1"/>
  <c r="K336" i="1"/>
  <c r="Q336" i="1" s="1"/>
  <c r="L335" i="1"/>
  <c r="S335" i="1" s="1"/>
  <c r="K335" i="1"/>
  <c r="J335" i="1"/>
  <c r="L334" i="1"/>
  <c r="S334" i="1" s="1"/>
  <c r="K334" i="1"/>
  <c r="Q334" i="1" s="1"/>
  <c r="L333" i="1"/>
  <c r="S333" i="1" s="1"/>
  <c r="K333" i="1"/>
  <c r="R333" i="1" s="1"/>
  <c r="T333" i="1" s="1"/>
  <c r="L331" i="1"/>
  <c r="S331" i="1" s="1"/>
  <c r="K331" i="1"/>
  <c r="L330" i="1"/>
  <c r="S330" i="1" s="1"/>
  <c r="K330" i="1"/>
  <c r="L329" i="1"/>
  <c r="S329" i="1" s="1"/>
  <c r="K329" i="1"/>
  <c r="Q329" i="1" s="1"/>
  <c r="L328" i="1"/>
  <c r="S328" i="1" s="1"/>
  <c r="K328" i="1"/>
  <c r="R328" i="1" s="1"/>
  <c r="T328" i="1" s="1"/>
  <c r="L327" i="1"/>
  <c r="S327" i="1" s="1"/>
  <c r="K327" i="1"/>
  <c r="R327" i="1" s="1"/>
  <c r="T327" i="1" s="1"/>
  <c r="L326" i="1"/>
  <c r="S326" i="1" s="1"/>
  <c r="K326" i="1"/>
  <c r="Q326" i="1" s="1"/>
  <c r="L325" i="1"/>
  <c r="S325" i="1" s="1"/>
  <c r="K325" i="1"/>
  <c r="R325" i="1" s="1"/>
  <c r="T325" i="1" s="1"/>
  <c r="L324" i="1"/>
  <c r="S324" i="1" s="1"/>
  <c r="K324" i="1"/>
  <c r="R324" i="1" s="1"/>
  <c r="T324" i="1" s="1"/>
  <c r="L323" i="1"/>
  <c r="S323" i="1" s="1"/>
  <c r="K323" i="1"/>
  <c r="R323" i="1" s="1"/>
  <c r="T323" i="1" s="1"/>
  <c r="L322" i="1"/>
  <c r="S322" i="1" s="1"/>
  <c r="K322" i="1"/>
  <c r="Q322" i="1" s="1"/>
  <c r="L321" i="1"/>
  <c r="S321" i="1" s="1"/>
  <c r="K321" i="1"/>
  <c r="L320" i="1"/>
  <c r="S320" i="1" s="1"/>
  <c r="K320" i="1"/>
  <c r="Q320" i="1" s="1"/>
  <c r="L319" i="1"/>
  <c r="S319" i="1" s="1"/>
  <c r="K319" i="1"/>
  <c r="Q319" i="1" s="1"/>
  <c r="L318" i="1"/>
  <c r="S318" i="1" s="1"/>
  <c r="K318" i="1"/>
  <c r="Q318" i="1" s="1"/>
  <c r="L317" i="1"/>
  <c r="S317" i="1" s="1"/>
  <c r="K317" i="1"/>
  <c r="L316" i="1"/>
  <c r="S316" i="1" s="1"/>
  <c r="K316" i="1"/>
  <c r="R316" i="1" s="1"/>
  <c r="T316" i="1" s="1"/>
  <c r="L315" i="1"/>
  <c r="S315" i="1" s="1"/>
  <c r="K315" i="1"/>
  <c r="Q315" i="1" s="1"/>
  <c r="L314" i="1"/>
  <c r="S314" i="1" s="1"/>
  <c r="K314" i="1"/>
  <c r="L313" i="1"/>
  <c r="S313" i="1" s="1"/>
  <c r="K313" i="1"/>
  <c r="Q313" i="1" s="1"/>
  <c r="L312" i="1"/>
  <c r="S312" i="1" s="1"/>
  <c r="K312" i="1"/>
  <c r="R312" i="1" s="1"/>
  <c r="T312" i="1" s="1"/>
  <c r="L311" i="1"/>
  <c r="S311" i="1" s="1"/>
  <c r="K311" i="1"/>
  <c r="Q311" i="1" s="1"/>
  <c r="L310" i="1"/>
  <c r="S310" i="1" s="1"/>
  <c r="K310" i="1"/>
  <c r="R310" i="1" s="1"/>
  <c r="T310" i="1" s="1"/>
  <c r="L308" i="1"/>
  <c r="S308" i="1" s="1"/>
  <c r="K308" i="1"/>
  <c r="L307" i="1"/>
  <c r="S307" i="1" s="1"/>
  <c r="K307" i="1"/>
  <c r="L306" i="1"/>
  <c r="S306" i="1" s="1"/>
  <c r="K306" i="1"/>
  <c r="R306" i="1" s="1"/>
  <c r="T306" i="1" s="1"/>
  <c r="L305" i="1"/>
  <c r="S305" i="1" s="1"/>
  <c r="K305" i="1"/>
  <c r="R305" i="1" s="1"/>
  <c r="T305" i="1" s="1"/>
  <c r="L304" i="1"/>
  <c r="S304" i="1" s="1"/>
  <c r="K304" i="1"/>
  <c r="Q304" i="1" s="1"/>
  <c r="L28" i="1"/>
  <c r="S28" i="1" s="1"/>
  <c r="K28" i="1"/>
  <c r="R28" i="1" s="1"/>
  <c r="T28" i="1" s="1"/>
  <c r="L303" i="1"/>
  <c r="S303" i="1" s="1"/>
  <c r="K303" i="1"/>
  <c r="L302" i="1"/>
  <c r="S302" i="1" s="1"/>
  <c r="K302" i="1"/>
  <c r="Q302" i="1" s="1"/>
  <c r="L301" i="1"/>
  <c r="S301" i="1" s="1"/>
  <c r="K301" i="1"/>
  <c r="R301" i="1" s="1"/>
  <c r="T301" i="1" s="1"/>
  <c r="L300" i="1"/>
  <c r="S300" i="1" s="1"/>
  <c r="K300" i="1"/>
  <c r="Q300" i="1" s="1"/>
  <c r="L299" i="1"/>
  <c r="S299" i="1" s="1"/>
  <c r="K299" i="1"/>
  <c r="R299" i="1" s="1"/>
  <c r="T299" i="1" s="1"/>
  <c r="L298" i="1"/>
  <c r="S298" i="1" s="1"/>
  <c r="K298" i="1"/>
  <c r="L297" i="1"/>
  <c r="S297" i="1" s="1"/>
  <c r="K297" i="1"/>
  <c r="L296" i="1"/>
  <c r="S296" i="1" s="1"/>
  <c r="K296" i="1"/>
  <c r="R296" i="1" s="1"/>
  <c r="T296" i="1" s="1"/>
  <c r="L295" i="1"/>
  <c r="S295" i="1" s="1"/>
  <c r="K295" i="1"/>
  <c r="R295" i="1" s="1"/>
  <c r="T295" i="1" s="1"/>
  <c r="L294" i="1"/>
  <c r="S294" i="1" s="1"/>
  <c r="K294" i="1"/>
  <c r="L293" i="1"/>
  <c r="S293" i="1" s="1"/>
  <c r="K293" i="1"/>
  <c r="Q293" i="1" s="1"/>
  <c r="L292" i="1"/>
  <c r="S292" i="1" s="1"/>
  <c r="K292" i="1"/>
  <c r="Q292" i="1" s="1"/>
  <c r="L291" i="1"/>
  <c r="S291" i="1" s="1"/>
  <c r="K291" i="1"/>
  <c r="Q291" i="1" s="1"/>
  <c r="L290" i="1"/>
  <c r="S290" i="1" s="1"/>
  <c r="K290" i="1"/>
  <c r="Q290" i="1" s="1"/>
  <c r="L289" i="1"/>
  <c r="S289" i="1" s="1"/>
  <c r="K289" i="1"/>
  <c r="Q289" i="1" s="1"/>
  <c r="L288" i="1"/>
  <c r="S288" i="1" s="1"/>
  <c r="K288" i="1"/>
  <c r="R288" i="1" s="1"/>
  <c r="T288" i="1" s="1"/>
  <c r="L287" i="1"/>
  <c r="S287" i="1" s="1"/>
  <c r="K287" i="1"/>
  <c r="Q287" i="1" s="1"/>
  <c r="L286" i="1"/>
  <c r="S286" i="1" s="1"/>
  <c r="K286" i="1"/>
  <c r="L285" i="1"/>
  <c r="S285" i="1" s="1"/>
  <c r="K285" i="1"/>
  <c r="L284" i="1"/>
  <c r="S284" i="1" s="1"/>
  <c r="K284" i="1"/>
  <c r="L283" i="1"/>
  <c r="S283" i="1" s="1"/>
  <c r="K283" i="1"/>
  <c r="L282" i="1"/>
  <c r="S282" i="1" s="1"/>
  <c r="K282" i="1"/>
  <c r="R282" i="1" s="1"/>
  <c r="T282" i="1" s="1"/>
  <c r="L281" i="1"/>
  <c r="S281" i="1" s="1"/>
  <c r="K281" i="1"/>
  <c r="Q281" i="1" s="1"/>
  <c r="L280" i="1"/>
  <c r="S280" i="1" s="1"/>
  <c r="K280" i="1"/>
  <c r="Q280" i="1" s="1"/>
  <c r="L279" i="1"/>
  <c r="S279" i="1" s="1"/>
  <c r="K279" i="1"/>
  <c r="R279" i="1" s="1"/>
  <c r="T279" i="1" s="1"/>
  <c r="L278" i="1"/>
  <c r="S278" i="1" s="1"/>
  <c r="K278" i="1"/>
  <c r="R278" i="1" s="1"/>
  <c r="T278" i="1" s="1"/>
  <c r="L277" i="1"/>
  <c r="S277" i="1" s="1"/>
  <c r="K277" i="1"/>
  <c r="L276" i="1"/>
  <c r="S276" i="1" s="1"/>
  <c r="K276" i="1"/>
  <c r="Q276" i="1" s="1"/>
  <c r="L275" i="1"/>
  <c r="S275" i="1" s="1"/>
  <c r="K275" i="1"/>
  <c r="Q275" i="1" s="1"/>
  <c r="J275" i="1"/>
  <c r="L273" i="1"/>
  <c r="S273" i="1" s="1"/>
  <c r="K273" i="1"/>
  <c r="Q273" i="1" s="1"/>
  <c r="L272" i="1"/>
  <c r="S272" i="1" s="1"/>
  <c r="K272" i="1"/>
  <c r="L271" i="1"/>
  <c r="S271" i="1" s="1"/>
  <c r="K271" i="1"/>
  <c r="R271" i="1" s="1"/>
  <c r="T271" i="1" s="1"/>
  <c r="L270" i="1"/>
  <c r="S270" i="1" s="1"/>
  <c r="K270" i="1"/>
  <c r="Q270" i="1" s="1"/>
  <c r="L269" i="1"/>
  <c r="S269" i="1" s="1"/>
  <c r="K269" i="1"/>
  <c r="L268" i="1"/>
  <c r="S268" i="1" s="1"/>
  <c r="K268" i="1"/>
  <c r="Q268" i="1" s="1"/>
  <c r="L267" i="1"/>
  <c r="S267" i="1" s="1"/>
  <c r="K267" i="1"/>
  <c r="Q267" i="1" s="1"/>
  <c r="L266" i="1"/>
  <c r="S266" i="1" s="1"/>
  <c r="K266" i="1"/>
  <c r="R266" i="1" s="1"/>
  <c r="T266" i="1" s="1"/>
  <c r="L265" i="1"/>
  <c r="S265" i="1" s="1"/>
  <c r="K265" i="1"/>
  <c r="L264" i="1"/>
  <c r="S264" i="1" s="1"/>
  <c r="K264" i="1"/>
  <c r="L263" i="1"/>
  <c r="S263" i="1" s="1"/>
  <c r="K263" i="1"/>
  <c r="L262" i="1"/>
  <c r="S262" i="1" s="1"/>
  <c r="K262" i="1"/>
  <c r="R262" i="1" s="1"/>
  <c r="T262" i="1" s="1"/>
  <c r="L261" i="1"/>
  <c r="S261" i="1" s="1"/>
  <c r="K261" i="1"/>
  <c r="L260" i="1"/>
  <c r="S260" i="1" s="1"/>
  <c r="K260" i="1"/>
  <c r="Q260" i="1" s="1"/>
  <c r="L259" i="1"/>
  <c r="S259" i="1" s="1"/>
  <c r="K259" i="1"/>
  <c r="R259" i="1" s="1"/>
  <c r="T259" i="1" s="1"/>
  <c r="L258" i="1"/>
  <c r="S258" i="1" s="1"/>
  <c r="K258" i="1"/>
  <c r="R258" i="1" s="1"/>
  <c r="T258" i="1" s="1"/>
  <c r="L257" i="1"/>
  <c r="S257" i="1" s="1"/>
  <c r="K257" i="1"/>
  <c r="R257" i="1" s="1"/>
  <c r="T257" i="1" s="1"/>
  <c r="L256" i="1"/>
  <c r="S256" i="1" s="1"/>
  <c r="K256" i="1"/>
  <c r="Q256" i="1" s="1"/>
  <c r="L255" i="1"/>
  <c r="S255" i="1" s="1"/>
  <c r="K255" i="1"/>
  <c r="Q255" i="1" s="1"/>
  <c r="L254" i="1"/>
  <c r="S254" i="1" s="1"/>
  <c r="K254" i="1"/>
  <c r="Q254" i="1" s="1"/>
  <c r="L253" i="1"/>
  <c r="S253" i="1" s="1"/>
  <c r="K253" i="1"/>
  <c r="R253" i="1" s="1"/>
  <c r="T253" i="1" s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R250" i="1" s="1"/>
  <c r="T250" i="1" s="1"/>
  <c r="L249" i="1"/>
  <c r="S249" i="1" s="1"/>
  <c r="K249" i="1"/>
  <c r="R249" i="1" s="1"/>
  <c r="T249" i="1" s="1"/>
  <c r="L248" i="1"/>
  <c r="S248" i="1" s="1"/>
  <c r="K248" i="1"/>
  <c r="R248" i="1" s="1"/>
  <c r="T248" i="1" s="1"/>
  <c r="L247" i="1"/>
  <c r="S247" i="1" s="1"/>
  <c r="K247" i="1"/>
  <c r="Q247" i="1" s="1"/>
  <c r="L246" i="1"/>
  <c r="S246" i="1" s="1"/>
  <c r="K246" i="1"/>
  <c r="Q246" i="1" s="1"/>
  <c r="L245" i="1"/>
  <c r="S245" i="1" s="1"/>
  <c r="K245" i="1"/>
  <c r="Q245" i="1" s="1"/>
  <c r="L244" i="1"/>
  <c r="S244" i="1" s="1"/>
  <c r="K244" i="1"/>
  <c r="L243" i="1"/>
  <c r="S243" i="1" s="1"/>
  <c r="K243" i="1"/>
  <c r="R243" i="1" s="1"/>
  <c r="T243" i="1" s="1"/>
  <c r="L242" i="1"/>
  <c r="S242" i="1" s="1"/>
  <c r="K242" i="1"/>
  <c r="L241" i="1"/>
  <c r="S241" i="1" s="1"/>
  <c r="K241" i="1"/>
  <c r="Q241" i="1" s="1"/>
  <c r="L240" i="1"/>
  <c r="S240" i="1" s="1"/>
  <c r="K240" i="1"/>
  <c r="L239" i="1"/>
  <c r="S239" i="1" s="1"/>
  <c r="K239" i="1"/>
  <c r="R239" i="1" s="1"/>
  <c r="T239" i="1" s="1"/>
  <c r="L238" i="1"/>
  <c r="S238" i="1" s="1"/>
  <c r="K238" i="1"/>
  <c r="Q238" i="1" s="1"/>
  <c r="L237" i="1"/>
  <c r="S237" i="1" s="1"/>
  <c r="K237" i="1"/>
  <c r="Q237" i="1" s="1"/>
  <c r="L236" i="1"/>
  <c r="S236" i="1" s="1"/>
  <c r="K236" i="1"/>
  <c r="Q236" i="1" s="1"/>
  <c r="L235" i="1"/>
  <c r="S235" i="1" s="1"/>
  <c r="K235" i="1"/>
  <c r="L234" i="1"/>
  <c r="S234" i="1" s="1"/>
  <c r="K234" i="1"/>
  <c r="Q234" i="1" s="1"/>
  <c r="J234" i="1"/>
  <c r="L233" i="1"/>
  <c r="S233" i="1" s="1"/>
  <c r="K233" i="1"/>
  <c r="Q233" i="1" s="1"/>
  <c r="L232" i="1"/>
  <c r="S232" i="1" s="1"/>
  <c r="K232" i="1"/>
  <c r="L231" i="1"/>
  <c r="S231" i="1" s="1"/>
  <c r="K231" i="1"/>
  <c r="Q231" i="1" s="1"/>
  <c r="L230" i="1"/>
  <c r="S230" i="1" s="1"/>
  <c r="K230" i="1"/>
  <c r="L229" i="1"/>
  <c r="S229" i="1" s="1"/>
  <c r="K229" i="1"/>
  <c r="R229" i="1" s="1"/>
  <c r="T229" i="1" s="1"/>
  <c r="L228" i="1"/>
  <c r="S228" i="1" s="1"/>
  <c r="K228" i="1"/>
  <c r="R228" i="1" s="1"/>
  <c r="T228" i="1" s="1"/>
  <c r="L227" i="1"/>
  <c r="S227" i="1" s="1"/>
  <c r="K227" i="1"/>
  <c r="L226" i="1"/>
  <c r="S226" i="1" s="1"/>
  <c r="K226" i="1"/>
  <c r="R226" i="1" s="1"/>
  <c r="T226" i="1" s="1"/>
  <c r="L225" i="1"/>
  <c r="S225" i="1" s="1"/>
  <c r="K225" i="1"/>
  <c r="R225" i="1" s="1"/>
  <c r="T225" i="1" s="1"/>
  <c r="L224" i="1"/>
  <c r="S224" i="1" s="1"/>
  <c r="K224" i="1"/>
  <c r="L223" i="1"/>
  <c r="S223" i="1" s="1"/>
  <c r="K223" i="1"/>
  <c r="Q223" i="1" s="1"/>
  <c r="L222" i="1"/>
  <c r="S222" i="1" s="1"/>
  <c r="K222" i="1"/>
  <c r="R222" i="1" s="1"/>
  <c r="T222" i="1" s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L218" i="1"/>
  <c r="S218" i="1" s="1"/>
  <c r="K218" i="1"/>
  <c r="Q218" i="1" s="1"/>
  <c r="L217" i="1"/>
  <c r="S217" i="1" s="1"/>
  <c r="K217" i="1"/>
  <c r="R217" i="1" s="1"/>
  <c r="T217" i="1" s="1"/>
  <c r="L216" i="1"/>
  <c r="S216" i="1" s="1"/>
  <c r="K216" i="1"/>
  <c r="L215" i="1"/>
  <c r="S215" i="1" s="1"/>
  <c r="K215" i="1"/>
  <c r="R215" i="1" s="1"/>
  <c r="T215" i="1" s="1"/>
  <c r="L214" i="1"/>
  <c r="S214" i="1" s="1"/>
  <c r="K214" i="1"/>
  <c r="Q214" i="1" s="1"/>
  <c r="L213" i="1"/>
  <c r="S213" i="1" s="1"/>
  <c r="K213" i="1"/>
  <c r="Q213" i="1" s="1"/>
  <c r="L212" i="1"/>
  <c r="S212" i="1" s="1"/>
  <c r="K212" i="1"/>
  <c r="R212" i="1" s="1"/>
  <c r="T212" i="1" s="1"/>
  <c r="L211" i="1"/>
  <c r="S211" i="1" s="1"/>
  <c r="K211" i="1"/>
  <c r="R211" i="1" s="1"/>
  <c r="T211" i="1" s="1"/>
  <c r="L210" i="1"/>
  <c r="S210" i="1" s="1"/>
  <c r="K210" i="1"/>
  <c r="R210" i="1" s="1"/>
  <c r="T210" i="1" s="1"/>
  <c r="L209" i="1"/>
  <c r="S209" i="1" s="1"/>
  <c r="K209" i="1"/>
  <c r="L208" i="1"/>
  <c r="S208" i="1" s="1"/>
  <c r="K208" i="1"/>
  <c r="R208" i="1" s="1"/>
  <c r="T208" i="1" s="1"/>
  <c r="L207" i="1"/>
  <c r="S207" i="1" s="1"/>
  <c r="K207" i="1"/>
  <c r="L206" i="1"/>
  <c r="S206" i="1" s="1"/>
  <c r="K206" i="1"/>
  <c r="L205" i="1"/>
  <c r="S205" i="1" s="1"/>
  <c r="K205" i="1"/>
  <c r="R205" i="1" s="1"/>
  <c r="T205" i="1" s="1"/>
  <c r="L204" i="1"/>
  <c r="S204" i="1" s="1"/>
  <c r="K204" i="1"/>
  <c r="Q204" i="1" s="1"/>
  <c r="L203" i="1"/>
  <c r="S203" i="1" s="1"/>
  <c r="K203" i="1"/>
  <c r="R203" i="1" s="1"/>
  <c r="T203" i="1" s="1"/>
  <c r="L202" i="1"/>
  <c r="S202" i="1" s="1"/>
  <c r="K202" i="1"/>
  <c r="L201" i="1"/>
  <c r="S201" i="1" s="1"/>
  <c r="K201" i="1"/>
  <c r="Q201" i="1" s="1"/>
  <c r="L200" i="1"/>
  <c r="S200" i="1" s="1"/>
  <c r="K200" i="1"/>
  <c r="R200" i="1" s="1"/>
  <c r="T200" i="1" s="1"/>
  <c r="L199" i="1"/>
  <c r="S199" i="1" s="1"/>
  <c r="K199" i="1"/>
  <c r="L198" i="1"/>
  <c r="S198" i="1" s="1"/>
  <c r="K198" i="1"/>
  <c r="L197" i="1"/>
  <c r="S197" i="1" s="1"/>
  <c r="K197" i="1"/>
  <c r="Q197" i="1" s="1"/>
  <c r="L196" i="1"/>
  <c r="S196" i="1" s="1"/>
  <c r="K196" i="1"/>
  <c r="R196" i="1" s="1"/>
  <c r="T196" i="1" s="1"/>
  <c r="L195" i="1"/>
  <c r="S195" i="1" s="1"/>
  <c r="K195" i="1"/>
  <c r="L194" i="1"/>
  <c r="S194" i="1" s="1"/>
  <c r="K194" i="1"/>
  <c r="R194" i="1" s="1"/>
  <c r="T194" i="1" s="1"/>
  <c r="L193" i="1"/>
  <c r="S193" i="1" s="1"/>
  <c r="K193" i="1"/>
  <c r="Q193" i="1" s="1"/>
  <c r="L192" i="1"/>
  <c r="S192" i="1" s="1"/>
  <c r="K192" i="1"/>
  <c r="L191" i="1"/>
  <c r="S191" i="1" s="1"/>
  <c r="K191" i="1"/>
  <c r="R191" i="1" s="1"/>
  <c r="T191" i="1" s="1"/>
  <c r="L190" i="1"/>
  <c r="S190" i="1" s="1"/>
  <c r="K190" i="1"/>
  <c r="R190" i="1" s="1"/>
  <c r="T190" i="1" s="1"/>
  <c r="L189" i="1"/>
  <c r="S189" i="1" s="1"/>
  <c r="K189" i="1"/>
  <c r="Q189" i="1" s="1"/>
  <c r="L188" i="1"/>
  <c r="S188" i="1" s="1"/>
  <c r="K188" i="1"/>
  <c r="R188" i="1" s="1"/>
  <c r="T188" i="1" s="1"/>
  <c r="L187" i="1"/>
  <c r="S187" i="1" s="1"/>
  <c r="K187" i="1"/>
  <c r="Q187" i="1" s="1"/>
  <c r="L186" i="1"/>
  <c r="S186" i="1" s="1"/>
  <c r="K186" i="1"/>
  <c r="R186" i="1" s="1"/>
  <c r="T186" i="1" s="1"/>
  <c r="L185" i="1"/>
  <c r="S185" i="1" s="1"/>
  <c r="K185" i="1"/>
  <c r="Q185" i="1" s="1"/>
  <c r="L184" i="1"/>
  <c r="S184" i="1" s="1"/>
  <c r="K184" i="1"/>
  <c r="R184" i="1" s="1"/>
  <c r="T184" i="1" s="1"/>
  <c r="L183" i="1"/>
  <c r="S183" i="1" s="1"/>
  <c r="K183" i="1"/>
  <c r="Q183" i="1" s="1"/>
  <c r="L182" i="1"/>
  <c r="S182" i="1" s="1"/>
  <c r="K182" i="1"/>
  <c r="R182" i="1" s="1"/>
  <c r="T182" i="1" s="1"/>
  <c r="L181" i="1"/>
  <c r="S181" i="1" s="1"/>
  <c r="K181" i="1"/>
  <c r="R181" i="1" s="1"/>
  <c r="T181" i="1" s="1"/>
  <c r="L180" i="1"/>
  <c r="S180" i="1" s="1"/>
  <c r="K180" i="1"/>
  <c r="R180" i="1" s="1"/>
  <c r="T180" i="1" s="1"/>
  <c r="L179" i="1"/>
  <c r="S179" i="1" s="1"/>
  <c r="K179" i="1"/>
  <c r="Q179" i="1" s="1"/>
  <c r="L178" i="1"/>
  <c r="S178" i="1" s="1"/>
  <c r="K178" i="1"/>
  <c r="R178" i="1" s="1"/>
  <c r="T178" i="1" s="1"/>
  <c r="L177" i="1"/>
  <c r="S177" i="1" s="1"/>
  <c r="K177" i="1"/>
  <c r="Q177" i="1" s="1"/>
  <c r="L176" i="1"/>
  <c r="S176" i="1" s="1"/>
  <c r="K176" i="1"/>
  <c r="R176" i="1" s="1"/>
  <c r="T176" i="1" s="1"/>
  <c r="L175" i="1"/>
  <c r="S175" i="1" s="1"/>
  <c r="K175" i="1"/>
  <c r="Q175" i="1" s="1"/>
  <c r="L174" i="1"/>
  <c r="S174" i="1" s="1"/>
  <c r="K174" i="1"/>
  <c r="Q174" i="1" s="1"/>
  <c r="L173" i="1"/>
  <c r="S173" i="1" s="1"/>
  <c r="K173" i="1"/>
  <c r="Q173" i="1" s="1"/>
  <c r="L172" i="1"/>
  <c r="S172" i="1" s="1"/>
  <c r="K172" i="1"/>
  <c r="R172" i="1" s="1"/>
  <c r="T172" i="1" s="1"/>
  <c r="L171" i="1"/>
  <c r="S171" i="1" s="1"/>
  <c r="K171" i="1"/>
  <c r="R171" i="1" s="1"/>
  <c r="T171" i="1" s="1"/>
  <c r="L170" i="1"/>
  <c r="S170" i="1" s="1"/>
  <c r="K170" i="1"/>
  <c r="Q170" i="1" s="1"/>
  <c r="L169" i="1"/>
  <c r="S169" i="1" s="1"/>
  <c r="K169" i="1"/>
  <c r="R169" i="1" s="1"/>
  <c r="T169" i="1" s="1"/>
  <c r="L168" i="1"/>
  <c r="S168" i="1" s="1"/>
  <c r="K168" i="1"/>
  <c r="R168" i="1" s="1"/>
  <c r="T168" i="1" s="1"/>
  <c r="L167" i="1"/>
  <c r="S167" i="1" s="1"/>
  <c r="K167" i="1"/>
  <c r="R167" i="1" s="1"/>
  <c r="T167" i="1" s="1"/>
  <c r="L166" i="1"/>
  <c r="S166" i="1" s="1"/>
  <c r="K166" i="1"/>
  <c r="Q166" i="1" s="1"/>
  <c r="L164" i="1"/>
  <c r="S164" i="1" s="1"/>
  <c r="K164" i="1"/>
  <c r="R164" i="1" s="1"/>
  <c r="T164" i="1" s="1"/>
  <c r="L163" i="1"/>
  <c r="S163" i="1" s="1"/>
  <c r="K163" i="1"/>
  <c r="L162" i="1"/>
  <c r="S162" i="1" s="1"/>
  <c r="K162" i="1"/>
  <c r="R162" i="1" s="1"/>
  <c r="T162" i="1" s="1"/>
  <c r="L161" i="1"/>
  <c r="S161" i="1" s="1"/>
  <c r="K161" i="1"/>
  <c r="Q161" i="1" s="1"/>
  <c r="L160" i="1"/>
  <c r="S160" i="1" s="1"/>
  <c r="K160" i="1"/>
  <c r="Q160" i="1" s="1"/>
  <c r="L159" i="1"/>
  <c r="S159" i="1" s="1"/>
  <c r="K159" i="1"/>
  <c r="L158" i="1"/>
  <c r="S158" i="1" s="1"/>
  <c r="K158" i="1"/>
  <c r="R158" i="1" s="1"/>
  <c r="T158" i="1" s="1"/>
  <c r="L157" i="1"/>
  <c r="S157" i="1" s="1"/>
  <c r="K157" i="1"/>
  <c r="R157" i="1" s="1"/>
  <c r="T157" i="1" s="1"/>
  <c r="L156" i="1"/>
  <c r="S156" i="1" s="1"/>
  <c r="K156" i="1"/>
  <c r="Q156" i="1" s="1"/>
  <c r="L155" i="1"/>
  <c r="S155" i="1" s="1"/>
  <c r="K155" i="1"/>
  <c r="Q155" i="1" s="1"/>
  <c r="J155" i="1"/>
  <c r="L154" i="1"/>
  <c r="S154" i="1" s="1"/>
  <c r="K154" i="1"/>
  <c r="Q154" i="1" s="1"/>
  <c r="L153" i="1"/>
  <c r="S153" i="1" s="1"/>
  <c r="K153" i="1"/>
  <c r="R153" i="1" s="1"/>
  <c r="T153" i="1" s="1"/>
  <c r="L152" i="1"/>
  <c r="S152" i="1" s="1"/>
  <c r="K152" i="1"/>
  <c r="R152" i="1" s="1"/>
  <c r="T152" i="1" s="1"/>
  <c r="L151" i="1"/>
  <c r="S151" i="1" s="1"/>
  <c r="K151" i="1"/>
  <c r="Q151" i="1" s="1"/>
  <c r="L150" i="1"/>
  <c r="S150" i="1" s="1"/>
  <c r="K150" i="1"/>
  <c r="Q150" i="1" s="1"/>
  <c r="L149" i="1"/>
  <c r="S149" i="1" s="1"/>
  <c r="K149" i="1"/>
  <c r="Q149" i="1" s="1"/>
  <c r="L148" i="1"/>
  <c r="S148" i="1" s="1"/>
  <c r="K148" i="1"/>
  <c r="Q148" i="1" s="1"/>
  <c r="L147" i="1"/>
  <c r="S147" i="1" s="1"/>
  <c r="K147" i="1"/>
  <c r="R147" i="1" s="1"/>
  <c r="T147" i="1" s="1"/>
  <c r="L146" i="1"/>
  <c r="S146" i="1" s="1"/>
  <c r="K146" i="1"/>
  <c r="Q146" i="1" s="1"/>
  <c r="L145" i="1"/>
  <c r="S145" i="1" s="1"/>
  <c r="K145" i="1"/>
  <c r="R145" i="1" s="1"/>
  <c r="T145" i="1" s="1"/>
  <c r="L144" i="1"/>
  <c r="S144" i="1" s="1"/>
  <c r="K144" i="1"/>
  <c r="R144" i="1" s="1"/>
  <c r="T144" i="1" s="1"/>
  <c r="L143" i="1"/>
  <c r="S143" i="1" s="1"/>
  <c r="K143" i="1"/>
  <c r="L142" i="1"/>
  <c r="S142" i="1" s="1"/>
  <c r="K142" i="1"/>
  <c r="L141" i="1"/>
  <c r="S141" i="1" s="1"/>
  <c r="K141" i="1"/>
  <c r="Q141" i="1" s="1"/>
  <c r="L140" i="1"/>
  <c r="S140" i="1" s="1"/>
  <c r="K140" i="1"/>
  <c r="R140" i="1" s="1"/>
  <c r="T140" i="1" s="1"/>
  <c r="L139" i="1"/>
  <c r="S139" i="1" s="1"/>
  <c r="K139" i="1"/>
  <c r="Q139" i="1" s="1"/>
  <c r="L138" i="1"/>
  <c r="S138" i="1" s="1"/>
  <c r="K138" i="1"/>
  <c r="R138" i="1" s="1"/>
  <c r="T138" i="1" s="1"/>
  <c r="L137" i="1"/>
  <c r="S137" i="1" s="1"/>
  <c r="K137" i="1"/>
  <c r="L136" i="1"/>
  <c r="S136" i="1" s="1"/>
  <c r="K136" i="1"/>
  <c r="Q136" i="1" s="1"/>
  <c r="L135" i="1"/>
  <c r="S135" i="1" s="1"/>
  <c r="K135" i="1"/>
  <c r="Q135" i="1" s="1"/>
  <c r="J135" i="1"/>
  <c r="L134" i="1"/>
  <c r="S134" i="1" s="1"/>
  <c r="K134" i="1"/>
  <c r="L133" i="1"/>
  <c r="S133" i="1" s="1"/>
  <c r="K133" i="1"/>
  <c r="L132" i="1"/>
  <c r="S132" i="1" s="1"/>
  <c r="K132" i="1"/>
  <c r="Q132" i="1" s="1"/>
  <c r="L131" i="1"/>
  <c r="S131" i="1" s="1"/>
  <c r="K131" i="1"/>
  <c r="R131" i="1" s="1"/>
  <c r="T131" i="1" s="1"/>
  <c r="L130" i="1"/>
  <c r="S130" i="1" s="1"/>
  <c r="K130" i="1"/>
  <c r="L128" i="1"/>
  <c r="S128" i="1" s="1"/>
  <c r="K128" i="1"/>
  <c r="Q128" i="1" s="1"/>
  <c r="L127" i="1"/>
  <c r="S127" i="1" s="1"/>
  <c r="K127" i="1"/>
  <c r="L126" i="1"/>
  <c r="S126" i="1" s="1"/>
  <c r="K126" i="1"/>
  <c r="R126" i="1" s="1"/>
  <c r="T126" i="1" s="1"/>
  <c r="L125" i="1"/>
  <c r="S125" i="1" s="1"/>
  <c r="K125" i="1"/>
  <c r="R125" i="1" s="1"/>
  <c r="T125" i="1" s="1"/>
  <c r="L124" i="1"/>
  <c r="S124" i="1" s="1"/>
  <c r="K124" i="1"/>
  <c r="R124" i="1" s="1"/>
  <c r="T124" i="1" s="1"/>
  <c r="L123" i="1"/>
  <c r="S123" i="1" s="1"/>
  <c r="K123" i="1"/>
  <c r="L122" i="1"/>
  <c r="S122" i="1" s="1"/>
  <c r="K122" i="1"/>
  <c r="Q122" i="1" s="1"/>
  <c r="L121" i="1"/>
  <c r="S121" i="1" s="1"/>
  <c r="K121" i="1"/>
  <c r="L120" i="1"/>
  <c r="S120" i="1" s="1"/>
  <c r="K120" i="1"/>
  <c r="Q120" i="1" s="1"/>
  <c r="L119" i="1"/>
  <c r="S119" i="1" s="1"/>
  <c r="K119" i="1"/>
  <c r="Q119" i="1" s="1"/>
  <c r="L118" i="1"/>
  <c r="S118" i="1" s="1"/>
  <c r="K118" i="1"/>
  <c r="L117" i="1"/>
  <c r="S117" i="1" s="1"/>
  <c r="K117" i="1"/>
  <c r="L116" i="1"/>
  <c r="S116" i="1" s="1"/>
  <c r="K116" i="1"/>
  <c r="R116" i="1" s="1"/>
  <c r="T116" i="1" s="1"/>
  <c r="L115" i="1"/>
  <c r="S115" i="1" s="1"/>
  <c r="K115" i="1"/>
  <c r="R115" i="1" s="1"/>
  <c r="T115" i="1" s="1"/>
  <c r="L114" i="1"/>
  <c r="S114" i="1" s="1"/>
  <c r="K114" i="1"/>
  <c r="Q114" i="1" s="1"/>
  <c r="L113" i="1"/>
  <c r="S113" i="1" s="1"/>
  <c r="K113" i="1"/>
  <c r="Q113" i="1" s="1"/>
  <c r="L112" i="1"/>
  <c r="S112" i="1" s="1"/>
  <c r="K112" i="1"/>
  <c r="R112" i="1" s="1"/>
  <c r="T112" i="1" s="1"/>
  <c r="L111" i="1"/>
  <c r="S111" i="1" s="1"/>
  <c r="K111" i="1"/>
  <c r="R111" i="1" s="1"/>
  <c r="T111" i="1" s="1"/>
  <c r="L110" i="1"/>
  <c r="S110" i="1" s="1"/>
  <c r="K110" i="1"/>
  <c r="R110" i="1" s="1"/>
  <c r="T110" i="1" s="1"/>
  <c r="L109" i="1"/>
  <c r="S109" i="1" s="1"/>
  <c r="K109" i="1"/>
  <c r="Q109" i="1" s="1"/>
  <c r="J109" i="1"/>
  <c r="L108" i="1"/>
  <c r="S108" i="1" s="1"/>
  <c r="K108" i="1"/>
  <c r="Q108" i="1" s="1"/>
  <c r="L107" i="1"/>
  <c r="S107" i="1" s="1"/>
  <c r="K107" i="1"/>
  <c r="Q107" i="1" s="1"/>
  <c r="L106" i="1"/>
  <c r="S106" i="1" s="1"/>
  <c r="K106" i="1"/>
  <c r="R106" i="1" s="1"/>
  <c r="T106" i="1" s="1"/>
  <c r="L105" i="1"/>
  <c r="S105" i="1" s="1"/>
  <c r="K105" i="1"/>
  <c r="Q105" i="1" s="1"/>
  <c r="L104" i="1"/>
  <c r="S104" i="1" s="1"/>
  <c r="K104" i="1"/>
  <c r="L165" i="1"/>
  <c r="S165" i="1" s="1"/>
  <c r="K165" i="1"/>
  <c r="L103" i="1"/>
  <c r="S103" i="1" s="1"/>
  <c r="K103" i="1"/>
  <c r="Q103" i="1" s="1"/>
  <c r="L102" i="1"/>
  <c r="S102" i="1" s="1"/>
  <c r="K102" i="1"/>
  <c r="L101" i="1"/>
  <c r="S101" i="1" s="1"/>
  <c r="K101" i="1"/>
  <c r="R101" i="1" s="1"/>
  <c r="T101" i="1" s="1"/>
  <c r="L100" i="1"/>
  <c r="S100" i="1" s="1"/>
  <c r="K100" i="1"/>
  <c r="R100" i="1" s="1"/>
  <c r="T100" i="1" s="1"/>
  <c r="L99" i="1"/>
  <c r="S99" i="1" s="1"/>
  <c r="K99" i="1"/>
  <c r="R99" i="1" s="1"/>
  <c r="T99" i="1" s="1"/>
  <c r="L274" i="1"/>
  <c r="S274" i="1" s="1"/>
  <c r="K274" i="1"/>
  <c r="P98" i="1"/>
  <c r="P636" i="1" s="1"/>
  <c r="L98" i="1"/>
  <c r="S98" i="1" s="1"/>
  <c r="K98" i="1"/>
  <c r="Q98" i="1" s="1"/>
  <c r="L97" i="1"/>
  <c r="S97" i="1" s="1"/>
  <c r="K97" i="1"/>
  <c r="Q97" i="1" s="1"/>
  <c r="L96" i="1"/>
  <c r="S96" i="1" s="1"/>
  <c r="K96" i="1"/>
  <c r="R96" i="1" s="1"/>
  <c r="T96" i="1" s="1"/>
  <c r="L95" i="1"/>
  <c r="S95" i="1" s="1"/>
  <c r="K95" i="1"/>
  <c r="R95" i="1" s="1"/>
  <c r="T95" i="1" s="1"/>
  <c r="L94" i="1"/>
  <c r="S94" i="1" s="1"/>
  <c r="K94" i="1"/>
  <c r="R94" i="1" s="1"/>
  <c r="T94" i="1" s="1"/>
  <c r="L93" i="1"/>
  <c r="S93" i="1" s="1"/>
  <c r="K93" i="1"/>
  <c r="R93" i="1" s="1"/>
  <c r="T93" i="1" s="1"/>
  <c r="L92" i="1"/>
  <c r="S92" i="1" s="1"/>
  <c r="K92" i="1"/>
  <c r="Q92" i="1" s="1"/>
  <c r="J92" i="1"/>
  <c r="L91" i="1"/>
  <c r="S91" i="1" s="1"/>
  <c r="K91" i="1"/>
  <c r="R91" i="1" s="1"/>
  <c r="T91" i="1" s="1"/>
  <c r="L90" i="1"/>
  <c r="S90" i="1" s="1"/>
  <c r="K90" i="1"/>
  <c r="R90" i="1" s="1"/>
  <c r="T90" i="1" s="1"/>
  <c r="L89" i="1"/>
  <c r="S89" i="1" s="1"/>
  <c r="K89" i="1"/>
  <c r="L88" i="1"/>
  <c r="S88" i="1" s="1"/>
  <c r="K88" i="1"/>
  <c r="L87" i="1"/>
  <c r="S87" i="1" s="1"/>
  <c r="K87" i="1"/>
  <c r="R87" i="1" s="1"/>
  <c r="T87" i="1" s="1"/>
  <c r="L86" i="1"/>
  <c r="S86" i="1" s="1"/>
  <c r="K86" i="1"/>
  <c r="R86" i="1" s="1"/>
  <c r="T86" i="1" s="1"/>
  <c r="L85" i="1"/>
  <c r="S85" i="1" s="1"/>
  <c r="K85" i="1"/>
  <c r="Q85" i="1" s="1"/>
  <c r="L84" i="1"/>
  <c r="S84" i="1" s="1"/>
  <c r="K84" i="1"/>
  <c r="Q84" i="1" s="1"/>
  <c r="L83" i="1"/>
  <c r="S83" i="1" s="1"/>
  <c r="K83" i="1"/>
  <c r="Q83" i="1" s="1"/>
  <c r="L82" i="1"/>
  <c r="S82" i="1" s="1"/>
  <c r="K82" i="1"/>
  <c r="Q82" i="1" s="1"/>
  <c r="L81" i="1"/>
  <c r="S81" i="1" s="1"/>
  <c r="K81" i="1"/>
  <c r="L80" i="1"/>
  <c r="S80" i="1" s="1"/>
  <c r="K80" i="1"/>
  <c r="L79" i="1"/>
  <c r="S79" i="1" s="1"/>
  <c r="K79" i="1"/>
  <c r="R79" i="1" s="1"/>
  <c r="T79" i="1" s="1"/>
  <c r="L78" i="1"/>
  <c r="S78" i="1" s="1"/>
  <c r="K78" i="1"/>
  <c r="R78" i="1" s="1"/>
  <c r="T78" i="1" s="1"/>
  <c r="L77" i="1"/>
  <c r="S77" i="1" s="1"/>
  <c r="K77" i="1"/>
  <c r="Q77" i="1" s="1"/>
  <c r="L76" i="1"/>
  <c r="S76" i="1" s="1"/>
  <c r="K76" i="1"/>
  <c r="L75" i="1"/>
  <c r="S75" i="1" s="1"/>
  <c r="K75" i="1"/>
  <c r="Q75" i="1" s="1"/>
  <c r="L73" i="1"/>
  <c r="S73" i="1" s="1"/>
  <c r="K73" i="1"/>
  <c r="R73" i="1" s="1"/>
  <c r="T73" i="1" s="1"/>
  <c r="L71" i="1"/>
  <c r="S71" i="1" s="1"/>
  <c r="K71" i="1"/>
  <c r="R71" i="1" s="1"/>
  <c r="T71" i="1" s="1"/>
  <c r="L72" i="1"/>
  <c r="S72" i="1" s="1"/>
  <c r="K72" i="1"/>
  <c r="Q72" i="1" s="1"/>
  <c r="L70" i="1"/>
  <c r="S70" i="1" s="1"/>
  <c r="K70" i="1"/>
  <c r="R70" i="1" s="1"/>
  <c r="T70" i="1" s="1"/>
  <c r="L69" i="1"/>
  <c r="S69" i="1" s="1"/>
  <c r="K69" i="1"/>
  <c r="R69" i="1" s="1"/>
  <c r="T69" i="1" s="1"/>
  <c r="L68" i="1"/>
  <c r="S68" i="1" s="1"/>
  <c r="K68" i="1"/>
  <c r="Q68" i="1" s="1"/>
  <c r="L67" i="1"/>
  <c r="S67" i="1" s="1"/>
  <c r="K67" i="1"/>
  <c r="L66" i="1"/>
  <c r="S66" i="1" s="1"/>
  <c r="K66" i="1"/>
  <c r="Q66" i="1" s="1"/>
  <c r="L65" i="1"/>
  <c r="S65" i="1" s="1"/>
  <c r="K65" i="1"/>
  <c r="R65" i="1" s="1"/>
  <c r="T65" i="1" s="1"/>
  <c r="L64" i="1"/>
  <c r="S64" i="1" s="1"/>
  <c r="K64" i="1"/>
  <c r="R64" i="1" s="1"/>
  <c r="T64" i="1" s="1"/>
  <c r="L63" i="1"/>
  <c r="S63" i="1" s="1"/>
  <c r="K63" i="1"/>
  <c r="Q63" i="1" s="1"/>
  <c r="L62" i="1"/>
  <c r="S62" i="1" s="1"/>
  <c r="K62" i="1"/>
  <c r="L61" i="1"/>
  <c r="S61" i="1" s="1"/>
  <c r="K61" i="1"/>
  <c r="Q61" i="1" s="1"/>
  <c r="J61" i="1"/>
  <c r="L60" i="1"/>
  <c r="S60" i="1" s="1"/>
  <c r="K60" i="1"/>
  <c r="R60" i="1" s="1"/>
  <c r="T60" i="1" s="1"/>
  <c r="L74" i="1"/>
  <c r="S74" i="1" s="1"/>
  <c r="K74" i="1"/>
  <c r="R74" i="1" s="1"/>
  <c r="T74" i="1" s="1"/>
  <c r="L59" i="1"/>
  <c r="S59" i="1" s="1"/>
  <c r="K59" i="1"/>
  <c r="R59" i="1" s="1"/>
  <c r="T59" i="1" s="1"/>
  <c r="L58" i="1"/>
  <c r="S58" i="1" s="1"/>
  <c r="K58" i="1"/>
  <c r="L57" i="1"/>
  <c r="S57" i="1" s="1"/>
  <c r="K57" i="1"/>
  <c r="Q57" i="1" s="1"/>
  <c r="L606" i="1"/>
  <c r="S606" i="1" s="1"/>
  <c r="K606" i="1"/>
  <c r="R606" i="1" s="1"/>
  <c r="T606" i="1" s="1"/>
  <c r="L56" i="1"/>
  <c r="S56" i="1" s="1"/>
  <c r="K56" i="1"/>
  <c r="Q56" i="1" s="1"/>
  <c r="L55" i="1"/>
  <c r="S55" i="1" s="1"/>
  <c r="K55" i="1"/>
  <c r="R55" i="1" s="1"/>
  <c r="T55" i="1" s="1"/>
  <c r="L54" i="1"/>
  <c r="S54" i="1" s="1"/>
  <c r="K54" i="1"/>
  <c r="L53" i="1"/>
  <c r="S53" i="1" s="1"/>
  <c r="K53" i="1"/>
  <c r="Q53" i="1" s="1"/>
  <c r="L52" i="1"/>
  <c r="S52" i="1" s="1"/>
  <c r="K52" i="1"/>
  <c r="Q52" i="1" s="1"/>
  <c r="L51" i="1"/>
  <c r="S51" i="1" s="1"/>
  <c r="K51" i="1"/>
  <c r="Q51" i="1" s="1"/>
  <c r="L50" i="1"/>
  <c r="S50" i="1" s="1"/>
  <c r="K50" i="1"/>
  <c r="Q50" i="1" s="1"/>
  <c r="L49" i="1"/>
  <c r="S49" i="1" s="1"/>
  <c r="K49" i="1"/>
  <c r="Q49" i="1" s="1"/>
  <c r="L48" i="1"/>
  <c r="S48" i="1" s="1"/>
  <c r="K48" i="1"/>
  <c r="Q48" i="1" s="1"/>
  <c r="J48" i="1"/>
  <c r="L47" i="1"/>
  <c r="S47" i="1" s="1"/>
  <c r="K47" i="1"/>
  <c r="Q47" i="1" s="1"/>
  <c r="L46" i="1"/>
  <c r="S46" i="1" s="1"/>
  <c r="K46" i="1"/>
  <c r="R46" i="1" s="1"/>
  <c r="T46" i="1" s="1"/>
  <c r="L45" i="1"/>
  <c r="S45" i="1" s="1"/>
  <c r="K45" i="1"/>
  <c r="R45" i="1" s="1"/>
  <c r="T45" i="1" s="1"/>
  <c r="L44" i="1"/>
  <c r="S44" i="1" s="1"/>
  <c r="K44" i="1"/>
  <c r="L43" i="1"/>
  <c r="S43" i="1" s="1"/>
  <c r="K43" i="1"/>
  <c r="R43" i="1" s="1"/>
  <c r="T43" i="1" s="1"/>
  <c r="L42" i="1"/>
  <c r="S42" i="1" s="1"/>
  <c r="K42" i="1"/>
  <c r="R42" i="1" s="1"/>
  <c r="T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L38" i="1"/>
  <c r="S38" i="1" s="1"/>
  <c r="K38" i="1"/>
  <c r="R38" i="1" s="1"/>
  <c r="T38" i="1" s="1"/>
  <c r="L37" i="1"/>
  <c r="S37" i="1" s="1"/>
  <c r="K37" i="1"/>
  <c r="R37" i="1" s="1"/>
  <c r="T37" i="1" s="1"/>
  <c r="L36" i="1"/>
  <c r="S36" i="1" s="1"/>
  <c r="K36" i="1"/>
  <c r="J36" i="1"/>
  <c r="L35" i="1"/>
  <c r="S35" i="1" s="1"/>
  <c r="K35" i="1"/>
  <c r="Q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R31" i="1" s="1"/>
  <c r="T31" i="1" s="1"/>
  <c r="L30" i="1"/>
  <c r="S30" i="1" s="1"/>
  <c r="K30" i="1"/>
  <c r="Q30" i="1" s="1"/>
  <c r="L29" i="1"/>
  <c r="S29" i="1" s="1"/>
  <c r="K29" i="1"/>
  <c r="Q29" i="1" s="1"/>
  <c r="L27" i="1"/>
  <c r="S27" i="1" s="1"/>
  <c r="K27" i="1"/>
  <c r="R27" i="1" s="1"/>
  <c r="T27" i="1" s="1"/>
  <c r="L26" i="1"/>
  <c r="S26" i="1" s="1"/>
  <c r="K26" i="1"/>
  <c r="Q26" i="1" s="1"/>
  <c r="L25" i="1"/>
  <c r="S25" i="1" s="1"/>
  <c r="K25" i="1"/>
  <c r="Q25" i="1" s="1"/>
  <c r="L24" i="1"/>
  <c r="S24" i="1" s="1"/>
  <c r="K24" i="1"/>
  <c r="Q24" i="1" s="1"/>
  <c r="L23" i="1"/>
  <c r="S23" i="1" s="1"/>
  <c r="K23" i="1"/>
  <c r="R23" i="1" s="1"/>
  <c r="T23" i="1" s="1"/>
  <c r="L22" i="1"/>
  <c r="S22" i="1" s="1"/>
  <c r="K22" i="1"/>
  <c r="R22" i="1" s="1"/>
  <c r="T22" i="1" s="1"/>
  <c r="L21" i="1"/>
  <c r="S21" i="1" s="1"/>
  <c r="K21" i="1"/>
  <c r="Q21" i="1" s="1"/>
  <c r="L20" i="1"/>
  <c r="S20" i="1" s="1"/>
  <c r="K20" i="1"/>
  <c r="R20" i="1" s="1"/>
  <c r="T20" i="1" s="1"/>
  <c r="L19" i="1"/>
  <c r="S19" i="1" s="1"/>
  <c r="K19" i="1"/>
  <c r="J19" i="1"/>
  <c r="L18" i="1"/>
  <c r="S18" i="1" s="1"/>
  <c r="K18" i="1"/>
  <c r="Q18" i="1" s="1"/>
  <c r="J18" i="1"/>
  <c r="L17" i="1"/>
  <c r="S17" i="1" s="1"/>
  <c r="K17" i="1"/>
  <c r="R17" i="1" s="1"/>
  <c r="T17" i="1" s="1"/>
  <c r="L16" i="1"/>
  <c r="K16" i="1"/>
  <c r="R16" i="1" l="1"/>
  <c r="K636" i="1"/>
  <c r="S16" i="1"/>
  <c r="L636" i="1"/>
  <c r="R534" i="1"/>
  <c r="T534" i="1" s="1"/>
  <c r="R591" i="1"/>
  <c r="T591" i="1" s="1"/>
  <c r="R220" i="1"/>
  <c r="T220" i="1" s="1"/>
  <c r="R461" i="1"/>
  <c r="T461" i="1" s="1"/>
  <c r="Q172" i="1"/>
  <c r="R334" i="1"/>
  <c r="T334" i="1" s="1"/>
  <c r="R53" i="1"/>
  <c r="T53" i="1" s="1"/>
  <c r="R449" i="1"/>
  <c r="T449" i="1" s="1"/>
  <c r="Q489" i="1"/>
  <c r="R412" i="1"/>
  <c r="T412" i="1" s="1"/>
  <c r="R508" i="1"/>
  <c r="T508" i="1" s="1"/>
  <c r="R267" i="1"/>
  <c r="T267" i="1" s="1"/>
  <c r="R632" i="1"/>
  <c r="T632" i="1" s="1"/>
  <c r="R254" i="1"/>
  <c r="T254" i="1" s="1"/>
  <c r="R564" i="1"/>
  <c r="T564" i="1" s="1"/>
  <c r="R32" i="1"/>
  <c r="T32" i="1" s="1"/>
  <c r="R293" i="1"/>
  <c r="T293" i="1" s="1"/>
  <c r="Q208" i="1"/>
  <c r="Q371" i="1"/>
  <c r="Q310" i="1"/>
  <c r="Q94" i="1"/>
  <c r="R451" i="1"/>
  <c r="T451" i="1" s="1"/>
  <c r="Q482" i="1"/>
  <c r="R35" i="1"/>
  <c r="T35" i="1" s="1"/>
  <c r="R616" i="1"/>
  <c r="T616" i="1" s="1"/>
  <c r="Q394" i="1"/>
  <c r="R496" i="1"/>
  <c r="T496" i="1" s="1"/>
  <c r="R572" i="1"/>
  <c r="T572" i="1" s="1"/>
  <c r="R136" i="1"/>
  <c r="T136" i="1" s="1"/>
  <c r="Q203" i="1"/>
  <c r="R336" i="1"/>
  <c r="T336" i="1" s="1"/>
  <c r="R366" i="1"/>
  <c r="T366" i="1" s="1"/>
  <c r="Q558" i="1"/>
  <c r="R63" i="1"/>
  <c r="T63" i="1" s="1"/>
  <c r="Q99" i="1"/>
  <c r="Q271" i="1"/>
  <c r="R344" i="1"/>
  <c r="T344" i="1" s="1"/>
  <c r="R483" i="1"/>
  <c r="T483" i="1" s="1"/>
  <c r="Q301" i="1"/>
  <c r="R315" i="1"/>
  <c r="T315" i="1" s="1"/>
  <c r="R373" i="1"/>
  <c r="T373" i="1" s="1"/>
  <c r="Q411" i="1"/>
  <c r="R122" i="1"/>
  <c r="T122" i="1" s="1"/>
  <c r="Q152" i="1"/>
  <c r="Q345" i="1"/>
  <c r="R618" i="1"/>
  <c r="T618" i="1" s="1"/>
  <c r="Q42" i="1"/>
  <c r="R21" i="1"/>
  <c r="T21" i="1" s="1"/>
  <c r="R52" i="1"/>
  <c r="T52" i="1" s="1"/>
  <c r="Q168" i="1"/>
  <c r="Q243" i="1"/>
  <c r="R420" i="1"/>
  <c r="T420" i="1" s="1"/>
  <c r="Q463" i="1"/>
  <c r="R275" i="1"/>
  <c r="T275" i="1" s="1"/>
  <c r="R347" i="1"/>
  <c r="T347" i="1" s="1"/>
  <c r="Q74" i="1"/>
  <c r="R201" i="1"/>
  <c r="T201" i="1" s="1"/>
  <c r="R326" i="1"/>
  <c r="T326" i="1" s="1"/>
  <c r="Q299" i="1"/>
  <c r="R24" i="1"/>
  <c r="T24" i="1" s="1"/>
  <c r="R41" i="1"/>
  <c r="T41" i="1" s="1"/>
  <c r="Q140" i="1"/>
  <c r="R223" i="1"/>
  <c r="T223" i="1" s="1"/>
  <c r="Q278" i="1"/>
  <c r="R311" i="1"/>
  <c r="T311" i="1" s="1"/>
  <c r="Q324" i="1"/>
  <c r="Q376" i="1"/>
  <c r="R391" i="1"/>
  <c r="T391" i="1" s="1"/>
  <c r="Q417" i="1"/>
  <c r="R47" i="1"/>
  <c r="T47" i="1" s="1"/>
  <c r="Q79" i="1"/>
  <c r="R154" i="1"/>
  <c r="T154" i="1" s="1"/>
  <c r="R245" i="1"/>
  <c r="T245" i="1" s="1"/>
  <c r="Q458" i="1"/>
  <c r="R464" i="1"/>
  <c r="T464" i="1" s="1"/>
  <c r="Q556" i="1"/>
  <c r="Q333" i="1"/>
  <c r="R72" i="1"/>
  <c r="T72" i="1" s="1"/>
  <c r="Q225" i="1"/>
  <c r="R246" i="1"/>
  <c r="T246" i="1" s="1"/>
  <c r="R398" i="1"/>
  <c r="T398" i="1" s="1"/>
  <c r="Q419" i="1"/>
  <c r="R29" i="1"/>
  <c r="T29" i="1" s="1"/>
  <c r="Q162" i="1"/>
  <c r="R170" i="1"/>
  <c r="T170" i="1" s="1"/>
  <c r="Q212" i="1"/>
  <c r="Q386" i="1"/>
  <c r="R485" i="1"/>
  <c r="T485" i="1" s="1"/>
  <c r="R492" i="1"/>
  <c r="T492" i="1" s="1"/>
  <c r="Q498" i="1"/>
  <c r="Q577" i="1"/>
  <c r="R304" i="1"/>
  <c r="T304" i="1" s="1"/>
  <c r="Q599" i="1"/>
  <c r="R339" i="1"/>
  <c r="T339" i="1" s="1"/>
  <c r="Q424" i="1"/>
  <c r="R490" i="1"/>
  <c r="T490" i="1" s="1"/>
  <c r="R518" i="1"/>
  <c r="T518" i="1" s="1"/>
  <c r="Q226" i="1"/>
  <c r="Q306" i="1"/>
  <c r="R399" i="1"/>
  <c r="T399" i="1" s="1"/>
  <c r="R433" i="1"/>
  <c r="T433" i="1" s="1"/>
  <c r="R459" i="1"/>
  <c r="T459" i="1" s="1"/>
  <c r="R465" i="1"/>
  <c r="T465" i="1" s="1"/>
  <c r="Q514" i="1"/>
  <c r="R520" i="1"/>
  <c r="T520" i="1" s="1"/>
  <c r="R608" i="1"/>
  <c r="T608" i="1" s="1"/>
  <c r="R260" i="1"/>
  <c r="T260" i="1" s="1"/>
  <c r="R407" i="1"/>
  <c r="T407" i="1" s="1"/>
  <c r="R369" i="1"/>
  <c r="T369" i="1" s="1"/>
  <c r="R50" i="1"/>
  <c r="T50" i="1" s="1"/>
  <c r="R290" i="1"/>
  <c r="T290" i="1" s="1"/>
  <c r="R615" i="1"/>
  <c r="T615" i="1" s="1"/>
  <c r="Q248" i="1"/>
  <c r="R255" i="1"/>
  <c r="T255" i="1" s="1"/>
  <c r="Q442" i="1"/>
  <c r="Q467" i="1"/>
  <c r="R523" i="1"/>
  <c r="T523" i="1" s="1"/>
  <c r="S621" i="1"/>
  <c r="R628" i="1"/>
  <c r="T628" i="1" s="1"/>
  <c r="R83" i="1"/>
  <c r="T83" i="1" s="1"/>
  <c r="R173" i="1"/>
  <c r="T173" i="1" s="1"/>
  <c r="R395" i="1"/>
  <c r="T395" i="1" s="1"/>
  <c r="R335" i="1"/>
  <c r="T335" i="1" s="1"/>
  <c r="R33" i="1"/>
  <c r="T33" i="1" s="1"/>
  <c r="Q125" i="1"/>
  <c r="R193" i="1"/>
  <c r="T193" i="1" s="1"/>
  <c r="Q215" i="1"/>
  <c r="R221" i="1"/>
  <c r="T221" i="1" s="1"/>
  <c r="R237" i="1"/>
  <c r="T237" i="1" s="1"/>
  <c r="Q252" i="1"/>
  <c r="Q262" i="1"/>
  <c r="R289" i="1"/>
  <c r="T289" i="1" s="1"/>
  <c r="R300" i="1"/>
  <c r="T300" i="1" s="1"/>
  <c r="Q28" i="1"/>
  <c r="R340" i="1"/>
  <c r="T340" i="1" s="1"/>
  <c r="Q370" i="1"/>
  <c r="R471" i="1"/>
  <c r="T471" i="1" s="1"/>
  <c r="R511" i="1"/>
  <c r="T511" i="1" s="1"/>
  <c r="Q526" i="1"/>
  <c r="R532" i="1"/>
  <c r="T532" i="1" s="1"/>
  <c r="Q550" i="1"/>
  <c r="Q106" i="1"/>
  <c r="Q145" i="1"/>
  <c r="R174" i="1"/>
  <c r="T174" i="1" s="1"/>
  <c r="Q181" i="1"/>
  <c r="R187" i="1"/>
  <c r="T187" i="1" s="1"/>
  <c r="Q205" i="1"/>
  <c r="Q211" i="1"/>
  <c r="R268" i="1"/>
  <c r="T268" i="1" s="1"/>
  <c r="Q295" i="1"/>
  <c r="R319" i="1"/>
  <c r="T319" i="1" s="1"/>
  <c r="Q335" i="1"/>
  <c r="R375" i="1"/>
  <c r="T375" i="1" s="1"/>
  <c r="Q408" i="1"/>
  <c r="Q466" i="1"/>
  <c r="Q516" i="1"/>
  <c r="Q521" i="1"/>
  <c r="Q567" i="1"/>
  <c r="R578" i="1"/>
  <c r="T578" i="1" s="1"/>
  <c r="R596" i="1"/>
  <c r="T596" i="1" s="1"/>
  <c r="R284" i="1"/>
  <c r="T284" i="1" s="1"/>
  <c r="R563" i="1"/>
  <c r="T563" i="1" s="1"/>
  <c r="R626" i="1"/>
  <c r="T626" i="1" s="1"/>
  <c r="R230" i="1"/>
  <c r="T230" i="1" s="1"/>
  <c r="Q64" i="1"/>
  <c r="Q55" i="1"/>
  <c r="R84" i="1"/>
  <c r="T84" i="1" s="1"/>
  <c r="R92" i="1"/>
  <c r="T92" i="1" s="1"/>
  <c r="Q101" i="1"/>
  <c r="R113" i="1"/>
  <c r="T113" i="1" s="1"/>
  <c r="Q258" i="1"/>
  <c r="R263" i="1"/>
  <c r="T263" i="1" s="1"/>
  <c r="Q362" i="1"/>
  <c r="R381" i="1"/>
  <c r="T381" i="1" s="1"/>
  <c r="R426" i="1"/>
  <c r="T426" i="1" s="1"/>
  <c r="R453" i="1"/>
  <c r="T453" i="1" s="1"/>
  <c r="R478" i="1"/>
  <c r="T478" i="1" s="1"/>
  <c r="Q505" i="1"/>
  <c r="R597" i="1"/>
  <c r="T597" i="1" s="1"/>
  <c r="R244" i="1"/>
  <c r="T244" i="1" s="1"/>
  <c r="Q158" i="1"/>
  <c r="Q222" i="1"/>
  <c r="R387" i="1"/>
  <c r="T387" i="1" s="1"/>
  <c r="Q410" i="1"/>
  <c r="R416" i="1"/>
  <c r="T416" i="1" s="1"/>
  <c r="R479" i="1"/>
  <c r="T479" i="1" s="1"/>
  <c r="R528" i="1"/>
  <c r="T528" i="1" s="1"/>
  <c r="R586" i="1"/>
  <c r="T586" i="1" s="1"/>
  <c r="R183" i="1"/>
  <c r="T183" i="1" s="1"/>
  <c r="Q372" i="1"/>
  <c r="R382" i="1"/>
  <c r="T382" i="1" s="1"/>
  <c r="Q438" i="1"/>
  <c r="R448" i="1"/>
  <c r="T448" i="1" s="1"/>
  <c r="Q513" i="1"/>
  <c r="R30" i="1"/>
  <c r="T30" i="1" s="1"/>
  <c r="R218" i="1"/>
  <c r="T218" i="1" s="1"/>
  <c r="R234" i="1"/>
  <c r="T234" i="1" s="1"/>
  <c r="Q239" i="1"/>
  <c r="Q249" i="1"/>
  <c r="R302" i="1"/>
  <c r="T302" i="1" s="1"/>
  <c r="Q316" i="1"/>
  <c r="R338" i="1"/>
  <c r="T338" i="1" s="1"/>
  <c r="R364" i="1"/>
  <c r="T364" i="1" s="1"/>
  <c r="R548" i="1"/>
  <c r="T548" i="1" s="1"/>
  <c r="R444" i="1"/>
  <c r="T444" i="1" s="1"/>
  <c r="Q469" i="1"/>
  <c r="R36" i="1"/>
  <c r="T36" i="1" s="1"/>
  <c r="R68" i="1"/>
  <c r="T68" i="1" s="1"/>
  <c r="R82" i="1"/>
  <c r="T82" i="1" s="1"/>
  <c r="R179" i="1"/>
  <c r="T179" i="1" s="1"/>
  <c r="R185" i="1"/>
  <c r="T185" i="1" s="1"/>
  <c r="Q191" i="1"/>
  <c r="Q229" i="1"/>
  <c r="Q282" i="1"/>
  <c r="Q327" i="1"/>
  <c r="Q378" i="1"/>
  <c r="R390" i="1"/>
  <c r="T390" i="1" s="1"/>
  <c r="Q455" i="1"/>
  <c r="R486" i="1"/>
  <c r="T486" i="1" s="1"/>
  <c r="Q536" i="1"/>
  <c r="R565" i="1"/>
  <c r="T565" i="1" s="1"/>
  <c r="R589" i="1"/>
  <c r="T589" i="1" s="1"/>
  <c r="Q43" i="1"/>
  <c r="R149" i="1"/>
  <c r="T149" i="1" s="1"/>
  <c r="R348" i="1"/>
  <c r="T348" i="1" s="1"/>
  <c r="Q354" i="1"/>
  <c r="R365" i="1"/>
  <c r="T365" i="1" s="1"/>
  <c r="Q374" i="1"/>
  <c r="R401" i="1"/>
  <c r="T401" i="1" s="1"/>
  <c r="R491" i="1"/>
  <c r="T491" i="1" s="1"/>
  <c r="R525" i="1"/>
  <c r="T525" i="1" s="1"/>
  <c r="R561" i="1"/>
  <c r="T561" i="1" s="1"/>
  <c r="Q110" i="1"/>
  <c r="R241" i="1"/>
  <c r="T241" i="1" s="1"/>
  <c r="Q266" i="1"/>
  <c r="Q279" i="1"/>
  <c r="R291" i="1"/>
  <c r="T291" i="1" s="1"/>
  <c r="Q338" i="1"/>
  <c r="Q350" i="1"/>
  <c r="Q388" i="1"/>
  <c r="Q396" i="1"/>
  <c r="R443" i="1"/>
  <c r="T443" i="1" s="1"/>
  <c r="Q457" i="1"/>
  <c r="Q495" i="1"/>
  <c r="R499" i="1"/>
  <c r="T499" i="1" s="1"/>
  <c r="Q541" i="1"/>
  <c r="Q555" i="1"/>
  <c r="Q562" i="1"/>
  <c r="R622" i="1"/>
  <c r="T622" i="1" s="1"/>
  <c r="R25" i="1"/>
  <c r="T25" i="1" s="1"/>
  <c r="Q60" i="1"/>
  <c r="R107" i="1"/>
  <c r="T107" i="1" s="1"/>
  <c r="Q126" i="1"/>
  <c r="R155" i="1"/>
  <c r="T155" i="1" s="1"/>
  <c r="R160" i="1"/>
  <c r="T160" i="1" s="1"/>
  <c r="Q164" i="1"/>
  <c r="Q176" i="1"/>
  <c r="Q288" i="1"/>
  <c r="Q296" i="1"/>
  <c r="R313" i="1"/>
  <c r="T313" i="1" s="1"/>
  <c r="R329" i="1"/>
  <c r="T329" i="1" s="1"/>
  <c r="R342" i="1"/>
  <c r="T342" i="1" s="1"/>
  <c r="Q368" i="1"/>
  <c r="R400" i="1"/>
  <c r="T400" i="1" s="1"/>
  <c r="Q428" i="1"/>
  <c r="Q439" i="1"/>
  <c r="R504" i="1"/>
  <c r="T504" i="1" s="1"/>
  <c r="Q529" i="1"/>
  <c r="Q566" i="1"/>
  <c r="Q584" i="1"/>
  <c r="Q612" i="1"/>
  <c r="Q631" i="1"/>
  <c r="Q69" i="1"/>
  <c r="Q91" i="1"/>
  <c r="Q116" i="1"/>
  <c r="R139" i="1"/>
  <c r="T139" i="1" s="1"/>
  <c r="R177" i="1"/>
  <c r="T177" i="1" s="1"/>
  <c r="R322" i="1"/>
  <c r="T322" i="1" s="1"/>
  <c r="R351" i="1"/>
  <c r="T351" i="1" s="1"/>
  <c r="R392" i="1"/>
  <c r="T392" i="1" s="1"/>
  <c r="Q425" i="1"/>
  <c r="R434" i="1"/>
  <c r="T434" i="1" s="1"/>
  <c r="R533" i="1"/>
  <c r="T533" i="1" s="1"/>
  <c r="Q547" i="1"/>
  <c r="Q559" i="1"/>
  <c r="R571" i="1"/>
  <c r="T571" i="1" s="1"/>
  <c r="R585" i="1"/>
  <c r="T585" i="1" s="1"/>
  <c r="Q617" i="1"/>
  <c r="R627" i="1"/>
  <c r="T627" i="1" s="1"/>
  <c r="R26" i="1"/>
  <c r="T26" i="1" s="1"/>
  <c r="R61" i="1"/>
  <c r="T61" i="1" s="1"/>
  <c r="Q65" i="1"/>
  <c r="Q95" i="1"/>
  <c r="R103" i="1"/>
  <c r="T103" i="1" s="1"/>
  <c r="Q147" i="1"/>
  <c r="Q169" i="1"/>
  <c r="Q190" i="1"/>
  <c r="Q200" i="1"/>
  <c r="R238" i="1"/>
  <c r="T238" i="1" s="1"/>
  <c r="Q250" i="1"/>
  <c r="Q284" i="1"/>
  <c r="R355" i="1"/>
  <c r="T355" i="1" s="1"/>
  <c r="Q385" i="1"/>
  <c r="Q421" i="1"/>
  <c r="R435" i="1"/>
  <c r="T435" i="1" s="1"/>
  <c r="R440" i="1"/>
  <c r="T440" i="1" s="1"/>
  <c r="Q454" i="1"/>
  <c r="Q475" i="1"/>
  <c r="R510" i="1"/>
  <c r="T510" i="1" s="1"/>
  <c r="Q537" i="1"/>
  <c r="R542" i="1"/>
  <c r="T542" i="1" s="1"/>
  <c r="Q563" i="1"/>
  <c r="Q576" i="1"/>
  <c r="R604" i="1"/>
  <c r="T604" i="1" s="1"/>
  <c r="R247" i="1"/>
  <c r="T247" i="1" s="1"/>
  <c r="Q46" i="1"/>
  <c r="R66" i="1"/>
  <c r="T66" i="1" s="1"/>
  <c r="Q70" i="1"/>
  <c r="R108" i="1"/>
  <c r="T108" i="1" s="1"/>
  <c r="R128" i="1"/>
  <c r="T128" i="1" s="1"/>
  <c r="Q144" i="1"/>
  <c r="R166" i="1"/>
  <c r="T166" i="1" s="1"/>
  <c r="Q182" i="1"/>
  <c r="Q196" i="1"/>
  <c r="R213" i="1"/>
  <c r="T213" i="1" s="1"/>
  <c r="Q217" i="1"/>
  <c r="R281" i="1"/>
  <c r="T281" i="1" s="1"/>
  <c r="R356" i="1"/>
  <c r="T356" i="1" s="1"/>
  <c r="Q402" i="1"/>
  <c r="R422" i="1"/>
  <c r="T422" i="1" s="1"/>
  <c r="R481" i="1"/>
  <c r="T481" i="1" s="1"/>
  <c r="R552" i="1"/>
  <c r="T552" i="1" s="1"/>
  <c r="Q560" i="1"/>
  <c r="R581" i="1"/>
  <c r="T581" i="1" s="1"/>
  <c r="R605" i="1"/>
  <c r="T605" i="1" s="1"/>
  <c r="Q37" i="1"/>
  <c r="Q157" i="1"/>
  <c r="Q178" i="1"/>
  <c r="R204" i="1"/>
  <c r="T204" i="1" s="1"/>
  <c r="Q263" i="1"/>
  <c r="Q323" i="1"/>
  <c r="Q390" i="1"/>
  <c r="Q484" i="1"/>
  <c r="Q502" i="1"/>
  <c r="Q511" i="1"/>
  <c r="Q531" i="1"/>
  <c r="Q600" i="1"/>
  <c r="R610" i="1"/>
  <c r="T610" i="1" s="1"/>
  <c r="R97" i="1"/>
  <c r="T97" i="1" s="1"/>
  <c r="R214" i="1"/>
  <c r="T214" i="1" s="1"/>
  <c r="R256" i="1"/>
  <c r="T256" i="1" s="1"/>
  <c r="R273" i="1"/>
  <c r="T273" i="1" s="1"/>
  <c r="R352" i="1"/>
  <c r="T352" i="1" s="1"/>
  <c r="R377" i="1"/>
  <c r="T377" i="1" s="1"/>
  <c r="Q472" i="1"/>
  <c r="R413" i="1"/>
  <c r="T413" i="1" s="1"/>
  <c r="Q468" i="1"/>
  <c r="R477" i="1"/>
  <c r="T477" i="1" s="1"/>
  <c r="R515" i="1"/>
  <c r="T515" i="1" s="1"/>
  <c r="Q519" i="1"/>
  <c r="R527" i="1"/>
  <c r="T527" i="1" s="1"/>
  <c r="Q535" i="1"/>
  <c r="R553" i="1"/>
  <c r="T553" i="1" s="1"/>
  <c r="R573" i="1"/>
  <c r="T573" i="1" s="1"/>
  <c r="Q582" i="1"/>
  <c r="Q601" i="1"/>
  <c r="Q629" i="1"/>
  <c r="R34" i="1"/>
  <c r="T34" i="1" s="1"/>
  <c r="R56" i="1"/>
  <c r="T56" i="1" s="1"/>
  <c r="R114" i="1"/>
  <c r="T114" i="1" s="1"/>
  <c r="R119" i="1"/>
  <c r="T119" i="1" s="1"/>
  <c r="R141" i="1"/>
  <c r="T141" i="1" s="1"/>
  <c r="R270" i="1"/>
  <c r="T270" i="1" s="1"/>
  <c r="R320" i="1"/>
  <c r="T320" i="1" s="1"/>
  <c r="Q171" i="1"/>
  <c r="R341" i="1"/>
  <c r="T341" i="1" s="1"/>
  <c r="R357" i="1"/>
  <c r="T357" i="1" s="1"/>
  <c r="R447" i="1"/>
  <c r="T447" i="1" s="1"/>
  <c r="Q473" i="1"/>
  <c r="Q545" i="1"/>
  <c r="Q607" i="1"/>
  <c r="R117" i="1"/>
  <c r="T117" i="1" s="1"/>
  <c r="Q117" i="1"/>
  <c r="R121" i="1"/>
  <c r="T121" i="1" s="1"/>
  <c r="Q121" i="1"/>
  <c r="R195" i="1"/>
  <c r="T195" i="1" s="1"/>
  <c r="Q195" i="1"/>
  <c r="R134" i="1"/>
  <c r="T134" i="1" s="1"/>
  <c r="Q134" i="1"/>
  <c r="R19" i="1"/>
  <c r="T19" i="1" s="1"/>
  <c r="Q19" i="1"/>
  <c r="R89" i="1"/>
  <c r="T89" i="1" s="1"/>
  <c r="Q89" i="1"/>
  <c r="R137" i="1"/>
  <c r="T137" i="1" s="1"/>
  <c r="Q137" i="1"/>
  <c r="R161" i="1"/>
  <c r="T161" i="1" s="1"/>
  <c r="Q285" i="1"/>
  <c r="R285" i="1"/>
  <c r="T285" i="1" s="1"/>
  <c r="Q38" i="1"/>
  <c r="Q71" i="1"/>
  <c r="Q259" i="1"/>
  <c r="Q325" i="1"/>
  <c r="R189" i="1"/>
  <c r="T189" i="1" s="1"/>
  <c r="R135" i="1"/>
  <c r="T135" i="1" s="1"/>
  <c r="Q186" i="1"/>
  <c r="Q253" i="1"/>
  <c r="R423" i="1"/>
  <c r="T423" i="1" s="1"/>
  <c r="Q423" i="1"/>
  <c r="R624" i="1"/>
  <c r="T624" i="1" s="1"/>
  <c r="Q624" i="1"/>
  <c r="Q17" i="1"/>
  <c r="Q20" i="1"/>
  <c r="Q23" i="1"/>
  <c r="R39" i="1"/>
  <c r="T39" i="1" s="1"/>
  <c r="Q39" i="1"/>
  <c r="Q45" i="1"/>
  <c r="R48" i="1"/>
  <c r="T48" i="1" s="1"/>
  <c r="Q59" i="1"/>
  <c r="Q73" i="1"/>
  <c r="R77" i="1"/>
  <c r="T77" i="1" s="1"/>
  <c r="Q87" i="1"/>
  <c r="Q115" i="1"/>
  <c r="R159" i="1"/>
  <c r="T159" i="1" s="1"/>
  <c r="Q159" i="1"/>
  <c r="Q230" i="1"/>
  <c r="R286" i="1"/>
  <c r="T286" i="1" s="1"/>
  <c r="Q286" i="1"/>
  <c r="R330" i="1"/>
  <c r="T330" i="1" s="1"/>
  <c r="Q330" i="1"/>
  <c r="Q381" i="1"/>
  <c r="R551" i="1"/>
  <c r="T551" i="1" s="1"/>
  <c r="Q551" i="1"/>
  <c r="Q574" i="1"/>
  <c r="R583" i="1"/>
  <c r="T583" i="1" s="1"/>
  <c r="Q583" i="1"/>
  <c r="R619" i="1"/>
  <c r="T619" i="1" s="1"/>
  <c r="Q619" i="1"/>
  <c r="R76" i="1"/>
  <c r="T76" i="1" s="1"/>
  <c r="Q76" i="1"/>
  <c r="R130" i="1"/>
  <c r="T130" i="1" s="1"/>
  <c r="Q130" i="1"/>
  <c r="R199" i="1"/>
  <c r="T199" i="1" s="1"/>
  <c r="Q199" i="1"/>
  <c r="Q328" i="1"/>
  <c r="R337" i="1"/>
  <c r="T337" i="1" s="1"/>
  <c r="Q337" i="1"/>
  <c r="R474" i="1"/>
  <c r="T474" i="1" s="1"/>
  <c r="Q474" i="1"/>
  <c r="Q494" i="1"/>
  <c r="R102" i="1"/>
  <c r="T102" i="1" s="1"/>
  <c r="Q102" i="1"/>
  <c r="R303" i="1"/>
  <c r="T303" i="1" s="1"/>
  <c r="Q303" i="1"/>
  <c r="Q606" i="1"/>
  <c r="Q227" i="1"/>
  <c r="R227" i="1"/>
  <c r="T227" i="1" s="1"/>
  <c r="Q264" i="1"/>
  <c r="R264" i="1"/>
  <c r="T264" i="1" s="1"/>
  <c r="Q415" i="1"/>
  <c r="R415" i="1"/>
  <c r="T415" i="1" s="1"/>
  <c r="R503" i="1"/>
  <c r="T503" i="1" s="1"/>
  <c r="R592" i="1"/>
  <c r="T592" i="1" s="1"/>
  <c r="Q592" i="1"/>
  <c r="R81" i="1"/>
  <c r="T81" i="1" s="1"/>
  <c r="Q81" i="1"/>
  <c r="R132" i="1"/>
  <c r="T132" i="1" s="1"/>
  <c r="R156" i="1"/>
  <c r="T156" i="1" s="1"/>
  <c r="Q210" i="1"/>
  <c r="R283" i="1"/>
  <c r="T283" i="1" s="1"/>
  <c r="Q283" i="1"/>
  <c r="Q297" i="1"/>
  <c r="R297" i="1"/>
  <c r="T297" i="1" s="1"/>
  <c r="Q393" i="1"/>
  <c r="R450" i="1"/>
  <c r="T450" i="1" s="1"/>
  <c r="Q450" i="1"/>
  <c r="R476" i="1"/>
  <c r="T476" i="1" s="1"/>
  <c r="Q476" i="1"/>
  <c r="R480" i="1"/>
  <c r="T480" i="1" s="1"/>
  <c r="R588" i="1"/>
  <c r="T588" i="1" s="1"/>
  <c r="Q588" i="1"/>
  <c r="R611" i="1"/>
  <c r="T611" i="1" s="1"/>
  <c r="R620" i="1"/>
  <c r="T620" i="1" s="1"/>
  <c r="Q620" i="1"/>
  <c r="R595" i="1"/>
  <c r="T595" i="1" s="1"/>
  <c r="Q595" i="1"/>
  <c r="R58" i="1"/>
  <c r="T58" i="1" s="1"/>
  <c r="Q58" i="1"/>
  <c r="R104" i="1"/>
  <c r="T104" i="1" s="1"/>
  <c r="Q104" i="1"/>
  <c r="Q404" i="1"/>
  <c r="Q493" i="1"/>
  <c r="R418" i="1"/>
  <c r="T418" i="1" s="1"/>
  <c r="Q418" i="1"/>
  <c r="Q90" i="1"/>
  <c r="Q118" i="1"/>
  <c r="R118" i="1"/>
  <c r="T118" i="1" s="1"/>
  <c r="Q138" i="1"/>
  <c r="R151" i="1"/>
  <c r="T151" i="1" s="1"/>
  <c r="R219" i="1"/>
  <c r="T219" i="1" s="1"/>
  <c r="Q219" i="1"/>
  <c r="R430" i="1"/>
  <c r="T430" i="1" s="1"/>
  <c r="Q430" i="1"/>
  <c r="Q111" i="1"/>
  <c r="Q192" i="1"/>
  <c r="R192" i="1"/>
  <c r="T192" i="1" s="1"/>
  <c r="R522" i="1"/>
  <c r="T522" i="1" s="1"/>
  <c r="Q522" i="1"/>
  <c r="Q96" i="1"/>
  <c r="R54" i="1"/>
  <c r="T54" i="1" s="1"/>
  <c r="Q54" i="1"/>
  <c r="R67" i="1"/>
  <c r="T67" i="1" s="1"/>
  <c r="Q67" i="1"/>
  <c r="R123" i="1"/>
  <c r="T123" i="1" s="1"/>
  <c r="Q123" i="1"/>
  <c r="Q36" i="1"/>
  <c r="Q112" i="1"/>
  <c r="Q127" i="1"/>
  <c r="R127" i="1"/>
  <c r="T127" i="1" s="1"/>
  <c r="R51" i="1"/>
  <c r="T51" i="1" s="1"/>
  <c r="Q88" i="1"/>
  <c r="R88" i="1"/>
  <c r="T88" i="1" s="1"/>
  <c r="Q153" i="1"/>
  <c r="R207" i="1"/>
  <c r="T207" i="1" s="1"/>
  <c r="Q207" i="1"/>
  <c r="Q257" i="1"/>
  <c r="R261" i="1"/>
  <c r="T261" i="1" s="1"/>
  <c r="Q261" i="1"/>
  <c r="R287" i="1"/>
  <c r="T287" i="1" s="1"/>
  <c r="Q312" i="1"/>
  <c r="Q437" i="1"/>
  <c r="R445" i="1"/>
  <c r="T445" i="1" s="1"/>
  <c r="Q539" i="1"/>
  <c r="R539" i="1"/>
  <c r="T539" i="1" s="1"/>
  <c r="R613" i="1"/>
  <c r="T613" i="1" s="1"/>
  <c r="Q613" i="1"/>
  <c r="R233" i="1"/>
  <c r="T233" i="1" s="1"/>
  <c r="Q497" i="1"/>
  <c r="R175" i="1"/>
  <c r="T175" i="1" s="1"/>
  <c r="Q305" i="1"/>
  <c r="R389" i="1"/>
  <c r="T389" i="1" s="1"/>
  <c r="Q389" i="1"/>
  <c r="R431" i="1"/>
  <c r="T431" i="1" s="1"/>
  <c r="Q431" i="1"/>
  <c r="R105" i="1"/>
  <c r="T105" i="1" s="1"/>
  <c r="Q131" i="1"/>
  <c r="R206" i="1"/>
  <c r="T206" i="1" s="1"/>
  <c r="Q206" i="1"/>
  <c r="R272" i="1"/>
  <c r="T272" i="1" s="1"/>
  <c r="Q272" i="1"/>
  <c r="R294" i="1"/>
  <c r="T294" i="1" s="1"/>
  <c r="Q294" i="1"/>
  <c r="Q40" i="1"/>
  <c r="R109" i="1"/>
  <c r="T109" i="1" s="1"/>
  <c r="R133" i="1"/>
  <c r="T133" i="1" s="1"/>
  <c r="Q133" i="1"/>
  <c r="R231" i="1"/>
  <c r="T231" i="1" s="1"/>
  <c r="R269" i="1"/>
  <c r="T269" i="1" s="1"/>
  <c r="Q269" i="1"/>
  <c r="R298" i="1"/>
  <c r="T298" i="1" s="1"/>
  <c r="Q298" i="1"/>
  <c r="Q353" i="1"/>
  <c r="R403" i="1"/>
  <c r="T403" i="1" s="1"/>
  <c r="Q403" i="1"/>
  <c r="R621" i="1"/>
  <c r="T621" i="1" s="1"/>
  <c r="Q621" i="1"/>
  <c r="Q317" i="1"/>
  <c r="R317" i="1"/>
  <c r="T317" i="1" s="1"/>
  <c r="R358" i="1"/>
  <c r="T358" i="1" s="1"/>
  <c r="Q358" i="1"/>
  <c r="R409" i="1"/>
  <c r="T409" i="1" s="1"/>
  <c r="Q409" i="1"/>
  <c r="R429" i="1"/>
  <c r="T429" i="1" s="1"/>
  <c r="R292" i="1"/>
  <c r="T292" i="1" s="1"/>
  <c r="R609" i="1"/>
  <c r="T609" i="1" s="1"/>
  <c r="Q609" i="1"/>
  <c r="R148" i="1"/>
  <c r="T148" i="1" s="1"/>
  <c r="R363" i="1"/>
  <c r="T363" i="1" s="1"/>
  <c r="Q363" i="1"/>
  <c r="R623" i="1"/>
  <c r="T623" i="1" s="1"/>
  <c r="Q623" i="1"/>
  <c r="Q93" i="1"/>
  <c r="R216" i="1"/>
  <c r="T216" i="1" s="1"/>
  <c r="Q216" i="1"/>
  <c r="R414" i="1"/>
  <c r="T414" i="1" s="1"/>
  <c r="Q414" i="1"/>
  <c r="R80" i="1"/>
  <c r="T80" i="1" s="1"/>
  <c r="Q80" i="1"/>
  <c r="R242" i="1"/>
  <c r="T242" i="1" s="1"/>
  <c r="Q242" i="1"/>
  <c r="Q359" i="1"/>
  <c r="R359" i="1"/>
  <c r="T359" i="1" s="1"/>
  <c r="J636" i="1"/>
  <c r="R18" i="1"/>
  <c r="T18" i="1" s="1"/>
  <c r="R143" i="1"/>
  <c r="T143" i="1" s="1"/>
  <c r="Q143" i="1"/>
  <c r="R197" i="1"/>
  <c r="T197" i="1" s="1"/>
  <c r="Q224" i="1"/>
  <c r="R224" i="1"/>
  <c r="T224" i="1" s="1"/>
  <c r="R331" i="1"/>
  <c r="T331" i="1" s="1"/>
  <c r="Q331" i="1"/>
  <c r="R427" i="1"/>
  <c r="T427" i="1" s="1"/>
  <c r="R602" i="1"/>
  <c r="T602" i="1" s="1"/>
  <c r="Q602" i="1"/>
  <c r="R62" i="1"/>
  <c r="T62" i="1" s="1"/>
  <c r="Q62" i="1"/>
  <c r="Q27" i="1"/>
  <c r="Q31" i="1"/>
  <c r="R49" i="1"/>
  <c r="T49" i="1" s="1"/>
  <c r="R75" i="1"/>
  <c r="T75" i="1" s="1"/>
  <c r="Q78" i="1"/>
  <c r="R85" i="1"/>
  <c r="T85" i="1" s="1"/>
  <c r="Q100" i="1"/>
  <c r="Q165" i="1"/>
  <c r="R165" i="1"/>
  <c r="T165" i="1" s="1"/>
  <c r="Q124" i="1"/>
  <c r="Q194" i="1"/>
  <c r="R198" i="1"/>
  <c r="T198" i="1" s="1"/>
  <c r="Q198" i="1"/>
  <c r="R240" i="1"/>
  <c r="T240" i="1" s="1"/>
  <c r="Q240" i="1"/>
  <c r="Q277" i="1"/>
  <c r="R277" i="1"/>
  <c r="T277" i="1" s="1"/>
  <c r="R308" i="1"/>
  <c r="T308" i="1" s="1"/>
  <c r="Q308" i="1"/>
  <c r="R346" i="1"/>
  <c r="T346" i="1" s="1"/>
  <c r="Q361" i="1"/>
  <c r="R501" i="1"/>
  <c r="T501" i="1" s="1"/>
  <c r="Q501" i="1"/>
  <c r="Q524" i="1"/>
  <c r="R524" i="1"/>
  <c r="T524" i="1" s="1"/>
  <c r="Q580" i="1"/>
  <c r="R580" i="1"/>
  <c r="T580" i="1" s="1"/>
  <c r="R594" i="1"/>
  <c r="T594" i="1" s="1"/>
  <c r="Q594" i="1"/>
  <c r="R603" i="1"/>
  <c r="T603" i="1" s="1"/>
  <c r="R343" i="1"/>
  <c r="T343" i="1" s="1"/>
  <c r="Q343" i="1"/>
  <c r="R384" i="1"/>
  <c r="T384" i="1" s="1"/>
  <c r="Q384" i="1"/>
  <c r="Q22" i="1"/>
  <c r="R44" i="1"/>
  <c r="T44" i="1" s="1"/>
  <c r="Q44" i="1"/>
  <c r="R274" i="1"/>
  <c r="T274" i="1" s="1"/>
  <c r="Q274" i="1"/>
  <c r="R546" i="1"/>
  <c r="T546" i="1" s="1"/>
  <c r="Q546" i="1"/>
  <c r="R569" i="1"/>
  <c r="T569" i="1" s="1"/>
  <c r="Q569" i="1"/>
  <c r="R590" i="1"/>
  <c r="T590" i="1" s="1"/>
  <c r="Q590" i="1"/>
  <c r="Q86" i="1"/>
  <c r="R163" i="1"/>
  <c r="T163" i="1" s="1"/>
  <c r="Q163" i="1"/>
  <c r="Q180" i="1"/>
  <c r="R235" i="1"/>
  <c r="T235" i="1" s="1"/>
  <c r="Q235" i="1"/>
  <c r="R307" i="1"/>
  <c r="T307" i="1" s="1"/>
  <c r="Q307" i="1"/>
  <c r="R598" i="1"/>
  <c r="T598" i="1" s="1"/>
  <c r="Q598" i="1"/>
  <c r="R57" i="1"/>
  <c r="T57" i="1" s="1"/>
  <c r="R120" i="1"/>
  <c r="T120" i="1" s="1"/>
  <c r="R150" i="1"/>
  <c r="T150" i="1" s="1"/>
  <c r="Q184" i="1"/>
  <c r="Q228" i="1"/>
  <c r="R236" i="1"/>
  <c r="T236" i="1" s="1"/>
  <c r="Q244" i="1"/>
  <c r="Q251" i="1"/>
  <c r="R488" i="1"/>
  <c r="T488" i="1" s="1"/>
  <c r="Q488" i="1"/>
  <c r="R549" i="1"/>
  <c r="T549" i="1" s="1"/>
  <c r="Q549" i="1"/>
  <c r="R557" i="1"/>
  <c r="T557" i="1" s="1"/>
  <c r="Q557" i="1"/>
  <c r="R554" i="1"/>
  <c r="T554" i="1" s="1"/>
  <c r="Q554" i="1"/>
  <c r="R209" i="1"/>
  <c r="T209" i="1" s="1"/>
  <c r="Q209" i="1"/>
  <c r="R349" i="1"/>
  <c r="T349" i="1" s="1"/>
  <c r="Q349" i="1"/>
  <c r="R506" i="1"/>
  <c r="T506" i="1" s="1"/>
  <c r="Q506" i="1"/>
  <c r="R587" i="1"/>
  <c r="T587" i="1" s="1"/>
  <c r="Q587" i="1"/>
  <c r="R633" i="1"/>
  <c r="T633" i="1" s="1"/>
  <c r="Q633" i="1"/>
  <c r="R142" i="1"/>
  <c r="T142" i="1" s="1"/>
  <c r="Q142" i="1"/>
  <c r="Q487" i="1"/>
  <c r="R543" i="1"/>
  <c r="T543" i="1" s="1"/>
  <c r="Q543" i="1"/>
  <c r="R568" i="1"/>
  <c r="T568" i="1" s="1"/>
  <c r="Q579" i="1"/>
  <c r="R470" i="1"/>
  <c r="T470" i="1" s="1"/>
  <c r="Q470" i="1"/>
  <c r="R544" i="1"/>
  <c r="T544" i="1" s="1"/>
  <c r="Q544" i="1"/>
  <c r="R202" i="1"/>
  <c r="T202" i="1" s="1"/>
  <c r="Q202" i="1"/>
  <c r="R232" i="1"/>
  <c r="T232" i="1" s="1"/>
  <c r="Q232" i="1"/>
  <c r="R314" i="1"/>
  <c r="T314" i="1" s="1"/>
  <c r="Q314" i="1"/>
  <c r="R512" i="1"/>
  <c r="T512" i="1" s="1"/>
  <c r="Q512" i="1"/>
  <c r="R383" i="1"/>
  <c r="T383" i="1" s="1"/>
  <c r="Q383" i="1"/>
  <c r="R397" i="1"/>
  <c r="T397" i="1" s="1"/>
  <c r="Q397" i="1"/>
  <c r="Q406" i="1"/>
  <c r="Q432" i="1"/>
  <c r="Q500" i="1"/>
  <c r="Q16" i="1"/>
  <c r="R98" i="1"/>
  <c r="T98" i="1" s="1"/>
  <c r="R146" i="1"/>
  <c r="T146" i="1" s="1"/>
  <c r="Q167" i="1"/>
  <c r="Q188" i="1"/>
  <c r="R318" i="1"/>
  <c r="T318" i="1" s="1"/>
  <c r="R321" i="1"/>
  <c r="T321" i="1" s="1"/>
  <c r="Q321" i="1"/>
  <c r="R360" i="1"/>
  <c r="T360" i="1" s="1"/>
  <c r="Q360" i="1"/>
  <c r="R367" i="1"/>
  <c r="T367" i="1" s="1"/>
  <c r="Q367" i="1"/>
  <c r="R380" i="1"/>
  <c r="T380" i="1" s="1"/>
  <c r="Q380" i="1"/>
  <c r="R456" i="1"/>
  <c r="T456" i="1" s="1"/>
  <c r="R509" i="1"/>
  <c r="T509" i="1" s="1"/>
  <c r="Q509" i="1"/>
  <c r="R530" i="1"/>
  <c r="T530" i="1" s="1"/>
  <c r="Q530" i="1"/>
  <c r="R593" i="1"/>
  <c r="T593" i="1" s="1"/>
  <c r="Q593" i="1"/>
  <c r="R276" i="1"/>
  <c r="T276" i="1" s="1"/>
  <c r="R436" i="1"/>
  <c r="T436" i="1" s="1"/>
  <c r="Q436" i="1"/>
  <c r="R446" i="1"/>
  <c r="T446" i="1" s="1"/>
  <c r="Q446" i="1"/>
  <c r="R614" i="1"/>
  <c r="T614" i="1" s="1"/>
  <c r="Q614" i="1"/>
  <c r="R462" i="1"/>
  <c r="T462" i="1" s="1"/>
  <c r="R265" i="1"/>
  <c r="T265" i="1" s="1"/>
  <c r="Q265" i="1"/>
  <c r="R280" i="1"/>
  <c r="T280" i="1" s="1"/>
  <c r="R441" i="1"/>
  <c r="T441" i="1" s="1"/>
  <c r="R379" i="1"/>
  <c r="T379" i="1" s="1"/>
  <c r="Q379" i="1"/>
  <c r="R575" i="1"/>
  <c r="T575" i="1" s="1"/>
  <c r="Q575" i="1"/>
  <c r="R538" i="1"/>
  <c r="T538" i="1" s="1"/>
  <c r="Q538" i="1"/>
  <c r="R625" i="1"/>
  <c r="T625" i="1" s="1"/>
  <c r="Q625" i="1"/>
  <c r="R405" i="1"/>
  <c r="T405" i="1" s="1"/>
  <c r="Q405" i="1"/>
  <c r="R517" i="1"/>
  <c r="T517" i="1" s="1"/>
  <c r="R570" i="1"/>
  <c r="T570" i="1" s="1"/>
  <c r="Q570" i="1"/>
  <c r="Q630" i="1"/>
  <c r="S636" i="1" l="1"/>
  <c r="Q636" i="1"/>
  <c r="T16" i="1"/>
  <c r="T636" i="1" s="1"/>
  <c r="R636" i="1"/>
</calcChain>
</file>

<file path=xl/sharedStrings.xml><?xml version="1.0" encoding="utf-8"?>
<sst xmlns="http://schemas.openxmlformats.org/spreadsheetml/2006/main" count="3123" uniqueCount="755">
  <si>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</si>
  <si>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</si>
  <si>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</si>
  <si>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</si>
  <si>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</si>
  <si>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</si>
  <si>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</si>
  <si>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</si>
  <si>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</si>
  <si>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</si>
  <si>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</si>
  <si>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</si>
  <si>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</si>
  <si>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</si>
  <si>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</si>
  <si>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</si>
  <si>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</si>
  <si>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</si>
  <si>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</si>
  <si>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</si>
  <si>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</si>
  <si>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</si>
  <si>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</si>
  <si>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</si>
  <si>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</si>
  <si>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</si>
  <si>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</si>
  <si>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</si>
  <si>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</si>
  <si>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</si>
  <si>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</si>
  <si>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</si>
  <si>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</si>
  <si>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</si>
  <si>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</si>
  <si>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</si>
  <si>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</si>
  <si>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</si>
  <si>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</si>
  <si>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</si>
  <si>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</si>
  <si>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</si>
  <si>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</si>
  <si>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</si>
  <si>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</si>
  <si>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</si>
  <si>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</si>
  <si>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</si>
  <si>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</si>
  <si>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</si>
  <si>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</si>
  <si>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</si>
  <si>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</si>
  <si>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</si>
  <si>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</si>
  <si>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</si>
  <si>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</si>
  <si>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</si>
  <si>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</si>
  <si>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</si>
  <si>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</si>
  <si>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</si>
  <si>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</si>
  <si>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</si>
  <si>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</si>
  <si>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</si>
  <si>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</si>
  <si>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</si>
  <si>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</si>
  <si>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</si>
  <si>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</si>
  <si>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</si>
  <si>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</si>
  <si>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</si>
  <si>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</si>
  <si>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</si>
  <si>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</si>
  <si>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</si>
  <si>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</si>
  <si>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</si>
  <si>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</si>
  <si>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</si>
  <si>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</si>
  <si>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</si>
  <si>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</si>
  <si>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</si>
  <si>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</si>
  <si>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</si>
  <si>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</si>
  <si>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</si>
  <si>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</si>
  <si>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</si>
  <si>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</si>
  <si>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</si>
  <si>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</si>
  <si>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</si>
  <si>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</si>
  <si>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</si>
  <si>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Seccion de Transportacion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</si>
  <si>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</si>
  <si>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</si>
  <si>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</si>
  <si>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</si>
  <si>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</si>
  <si>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</si>
  <si>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Wilson Antonio Garcia Martinez</t>
  </si>
  <si>
    <t>Alvaro Jesus Ramon Muñoz</t>
  </si>
  <si>
    <t>Amairany Feliz Reyes</t>
  </si>
  <si>
    <t>Amauri Luciano Salcedo Vargas</t>
  </si>
  <si>
    <t>Annie Marielle Santana Almanzar</t>
  </si>
  <si>
    <t>Division de Embellecimiento de las Areas Verdes, C. y A.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</si>
  <si>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</si>
  <si>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</si>
  <si>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</si>
  <si>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</si>
  <si>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</si>
  <si>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</si>
  <si>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</si>
  <si>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</si>
  <si>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</si>
  <si>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</si>
  <si>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</si>
  <si>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Guerrero Martinez</t>
  </si>
  <si>
    <t>Angela Altagracia Ramirez Liriano</t>
  </si>
  <si>
    <t>Anneuri Kisauri Gil Mejia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</si>
  <si>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</si>
  <si>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</si>
  <si>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</si>
  <si>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</si>
  <si>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</si>
  <si>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</si>
  <si>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</si>
  <si>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</si>
  <si>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</si>
  <si>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</si>
  <si>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</si>
  <si>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</si>
  <si>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</si>
  <si>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</si>
  <si>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</si>
  <si>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</si>
  <si>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</si>
  <si>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</si>
  <si>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</si>
  <si>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</si>
  <si>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</si>
  <si>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</si>
  <si>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</si>
  <si>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</si>
  <si>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</si>
  <si>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</si>
  <si>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</si>
  <si>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</si>
  <si>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</si>
  <si>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</si>
  <si>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Johansel Alexander De La Cruz Cordero</t>
  </si>
  <si>
    <t>Biagney Bautista Bautista</t>
  </si>
  <si>
    <t>Blas Amparo</t>
  </si>
  <si>
    <t>Supervisor de Areas Verdes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</si>
  <si>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</si>
  <si>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</si>
  <si>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</si>
  <si>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</si>
  <si>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</si>
  <si>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Eddy De La Cruz Morales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</si>
  <si>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</si>
  <si>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</si>
  <si>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</si>
  <si>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</si>
  <si>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</si>
  <si>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</si>
  <si>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</si>
  <si>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</si>
  <si>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</si>
  <si>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</si>
  <si>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</si>
  <si>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</si>
  <si>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</si>
  <si>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</si>
  <si>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</si>
  <si>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</si>
  <si>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</si>
  <si>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</si>
  <si>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</si>
  <si>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</si>
  <si>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</si>
  <si>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</si>
  <si>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</si>
  <si>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</si>
  <si>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</si>
  <si>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</si>
  <si>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</si>
  <si>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Rosario Sabino</t>
  </si>
  <si>
    <t>Charisleydi Reyes Sena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</si>
  <si>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</si>
  <si>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</si>
  <si>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</si>
  <si>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</si>
  <si>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</si>
  <si>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</si>
  <si>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</si>
  <si>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</si>
  <si>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</si>
  <si>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</si>
  <si>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</si>
  <si>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</si>
  <si>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</si>
  <si>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</si>
  <si>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</si>
  <si>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</si>
  <si>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</si>
  <si>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</si>
  <si>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</si>
  <si>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</si>
  <si>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</si>
  <si>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</si>
  <si>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</si>
  <si>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</si>
  <si>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</si>
  <si>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</si>
  <si>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</si>
  <si>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</si>
  <si>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</si>
  <si>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</si>
  <si>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</si>
  <si>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</si>
  <si>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</si>
  <si>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Arturo Diaz Hernandez</t>
  </si>
  <si>
    <t>Domingo German Chester Jimenez</t>
  </si>
  <si>
    <t>Dorka Maria Javier Concepcion</t>
  </si>
  <si>
    <t>Eddy Anibal Henriquez Feliz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</si>
  <si>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</si>
  <si>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</si>
  <si>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</si>
  <si>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</si>
  <si>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</si>
  <si>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</si>
  <si>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</si>
  <si>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</si>
  <si>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</si>
  <si>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</si>
  <si>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</si>
  <si>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</si>
  <si>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</si>
  <si>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</si>
  <si>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</si>
  <si>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Emanuel Balbuena Ogando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</si>
  <si>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</si>
  <si>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</si>
  <si>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</si>
  <si>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</si>
  <si>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</si>
  <si>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</si>
  <si>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</si>
  <si>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</si>
  <si>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</si>
  <si>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</si>
  <si>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</si>
  <si>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</si>
  <si>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</si>
  <si>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</si>
  <si>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</si>
  <si>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</si>
  <si>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</si>
  <si>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</si>
  <si>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</si>
  <si>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</si>
  <si>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</si>
  <si>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</si>
  <si>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</si>
  <si>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</si>
  <si>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</si>
  <si>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</si>
  <si>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</si>
  <si>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</si>
  <si>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</si>
  <si>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</si>
  <si>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</si>
  <si>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</si>
  <si>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</si>
  <si>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</si>
  <si>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</si>
  <si>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</si>
  <si>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</si>
  <si>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</si>
  <si>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</si>
  <si>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Genesis Avalo Muñoz</t>
  </si>
  <si>
    <t>Supervisor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</si>
  <si>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</si>
  <si>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</si>
  <si>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</si>
  <si>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</si>
  <si>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</si>
  <si>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</si>
  <si>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</si>
  <si>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</si>
  <si>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</si>
  <si>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</si>
  <si>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</si>
  <si>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</si>
  <si>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</si>
  <si>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</si>
  <si>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</si>
  <si>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</si>
  <si>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</si>
  <si>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</si>
  <si>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</si>
  <si>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</si>
  <si>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</si>
  <si>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</si>
  <si>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</si>
  <si>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</si>
  <si>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</si>
  <si>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</si>
  <si>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Henry Rosario Rosario</t>
  </si>
  <si>
    <t>Hipolito Rosario Cepeda</t>
  </si>
  <si>
    <t>Hugo Ernesto Cuevas Vasquez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</si>
  <si>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</si>
  <si>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</si>
  <si>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</si>
  <si>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</si>
  <si>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</si>
  <si>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</si>
  <si>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</si>
  <si>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</si>
  <si>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</si>
  <si>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</si>
  <si>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</si>
  <si>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</si>
  <si>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</si>
  <si>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</si>
  <si>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</si>
  <si>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</si>
  <si>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</si>
  <si>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</si>
  <si>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</si>
  <si>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Gomez Perez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</si>
  <si>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</si>
  <si>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</si>
  <si>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</si>
  <si>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</si>
  <si>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</si>
  <si>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</si>
  <si>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</si>
  <si>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</si>
  <si>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</si>
  <si>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</si>
  <si>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</si>
  <si>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</si>
  <si>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</si>
  <si>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</si>
  <si>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</si>
  <si>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</si>
  <si>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</si>
  <si>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</si>
  <si>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</si>
  <si>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</si>
  <si>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</si>
  <si>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</si>
  <si>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</si>
  <si>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</si>
  <si>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</si>
  <si>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</si>
  <si>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</si>
  <si>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</si>
  <si>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</si>
  <si>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</si>
  <si>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</si>
  <si>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</si>
  <si>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</si>
  <si>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</si>
  <si>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</si>
  <si>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</si>
  <si>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</si>
  <si>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</si>
  <si>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</si>
  <si>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</si>
  <si>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</si>
  <si>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</si>
  <si>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</si>
  <si>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</si>
  <si>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</si>
  <si>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</si>
  <si>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</si>
  <si>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</si>
  <si>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Adonis De Jesus Gonzalez Garcia</t>
  </si>
  <si>
    <t>Jose Manuel Matos Valdez</t>
  </si>
  <si>
    <t>Jose Manuel Roa</t>
  </si>
  <si>
    <t>Jose Manuel Rosario Mariñez</t>
  </si>
  <si>
    <t>Jose Miguel Garcia Cruz</t>
  </si>
  <si>
    <t>Jose Miguel Guerrero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</si>
  <si>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</si>
  <si>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</si>
  <si>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</si>
  <si>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</si>
  <si>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</si>
  <si>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</si>
  <si>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</si>
  <si>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</si>
  <si>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</si>
  <si>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</si>
  <si>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</si>
  <si>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</si>
  <si>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</si>
  <si>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</si>
  <si>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</si>
  <si>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</si>
  <si>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</si>
  <si>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</si>
  <si>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</si>
  <si>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</si>
  <si>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</si>
  <si>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</si>
  <si>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</si>
  <si>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</si>
  <si>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</si>
  <si>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</si>
  <si>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</si>
  <si>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</si>
  <si>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</si>
  <si>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</si>
  <si>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</si>
  <si>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</si>
  <si>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</si>
  <si>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</si>
  <si>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</si>
  <si>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</si>
  <si>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</si>
  <si>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</si>
  <si>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</si>
  <si>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</si>
  <si>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</si>
  <si>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</si>
  <si>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</si>
  <si>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</si>
  <si>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</si>
  <si>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</si>
  <si>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</si>
  <si>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</si>
  <si>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</si>
  <si>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</si>
  <si>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</si>
  <si>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</si>
  <si>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</si>
  <si>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</si>
  <si>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</si>
  <si>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</si>
  <si>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</si>
  <si>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</si>
  <si>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</si>
  <si>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</si>
  <si>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</si>
  <si>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</si>
  <si>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</si>
  <si>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</si>
  <si>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</si>
  <si>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</si>
  <si>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</si>
  <si>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</si>
  <si>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</si>
  <si>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</si>
  <si>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</si>
  <si>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</si>
  <si>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</si>
  <si>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</si>
  <si>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</si>
  <si>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</si>
  <si>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</si>
  <si>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</si>
  <si>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</si>
  <si>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</si>
  <si>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</si>
  <si>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</si>
  <si>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</si>
  <si>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</si>
  <si>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</si>
  <si>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</si>
  <si>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</si>
  <si>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</si>
  <si>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</si>
  <si>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Sección Medica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</si>
  <si>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</si>
  <si>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</si>
  <si>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</si>
  <si>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</si>
  <si>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</si>
  <si>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</si>
  <si>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</si>
  <si>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Luz Castillo Guzman De Guzman</t>
  </si>
  <si>
    <t>Maria Ramona Sanchez Rodriguez</t>
  </si>
  <si>
    <t>Maria Virgen Jhonson King</t>
  </si>
  <si>
    <t>Marianny Altagracia Sanchez Diaz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</si>
  <si>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</si>
  <si>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</si>
  <si>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</si>
  <si>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</si>
  <si>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</si>
  <si>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</si>
  <si>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</si>
  <si>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</si>
  <si>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</si>
  <si>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</si>
  <si>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</si>
  <si>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</si>
  <si>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</si>
  <si>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</si>
  <si>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</si>
  <si>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</si>
  <si>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</si>
  <si>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</si>
  <si>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</si>
  <si>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</si>
  <si>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</si>
  <si>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</si>
  <si>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</si>
  <si>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</si>
  <si>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</si>
  <si>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</si>
  <si>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</si>
  <si>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</si>
  <si>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</si>
  <si>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</si>
  <si>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</si>
  <si>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</si>
  <si>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</si>
  <si>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</si>
  <si>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</si>
  <si>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</si>
  <si>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</si>
  <si>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</si>
  <si>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</si>
  <si>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</si>
  <si>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</si>
  <si>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</si>
  <si>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</si>
  <si>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</si>
  <si>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</si>
  <si>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</si>
  <si>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</si>
  <si>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Neroliza Guzman Sanchez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</si>
  <si>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</si>
  <si>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</si>
  <si>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</si>
  <si>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</si>
  <si>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</si>
  <si>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</si>
  <si>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</si>
  <si>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</si>
  <si>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</si>
  <si>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</si>
  <si>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</si>
  <si>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</si>
  <si>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</si>
  <si>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</si>
  <si>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</si>
  <si>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</si>
  <si>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</si>
  <si>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</si>
  <si>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</si>
  <si>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</si>
  <si>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</si>
  <si>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</si>
  <si>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</si>
  <si>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</si>
  <si>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</si>
  <si>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</si>
  <si>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</si>
  <si>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</si>
  <si>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</si>
  <si>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</si>
  <si>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</si>
  <si>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</si>
  <si>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</si>
  <si>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</si>
  <si>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</si>
  <si>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</si>
  <si>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</si>
  <si>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</si>
  <si>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</si>
  <si>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</si>
  <si>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</si>
  <si>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</si>
  <si>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</si>
  <si>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</si>
  <si>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</si>
  <si>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</si>
  <si>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</si>
  <si>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</si>
  <si>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</si>
  <si>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</si>
  <si>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</si>
  <si>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</si>
  <si>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</si>
  <si>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</si>
  <si>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</si>
  <si>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</si>
  <si>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</si>
  <si>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</si>
  <si>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</si>
  <si>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</si>
  <si>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</si>
  <si>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</si>
  <si>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</si>
  <si>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</si>
  <si>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</si>
  <si>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</si>
  <si>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</si>
  <si>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</si>
  <si>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</si>
  <si>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</si>
  <si>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</si>
  <si>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</si>
  <si>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</si>
  <si>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</si>
  <si>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</si>
  <si>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</si>
  <si>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</si>
  <si>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</si>
  <si>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</si>
  <si>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</si>
  <si>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</si>
  <si>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</si>
  <si>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</si>
  <si>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</si>
  <si>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</si>
  <si>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</si>
  <si>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</si>
  <si>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</si>
  <si>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</si>
  <si>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</si>
  <si>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</si>
  <si>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</si>
  <si>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Roberto Nepomuceno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</si>
  <si>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</si>
  <si>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</si>
  <si>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</si>
  <si>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</si>
  <si>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</si>
  <si>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</si>
  <si>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</si>
  <si>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</si>
  <si>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</si>
  <si>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</si>
  <si>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</si>
  <si>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</si>
  <si>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</si>
  <si>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</si>
  <si>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</si>
  <si>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</si>
  <si>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</si>
  <si>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</si>
  <si>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</si>
  <si>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</si>
  <si>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</si>
  <si>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Rosnely Urbaez Mella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</si>
  <si>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</si>
  <si>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</si>
  <si>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</si>
  <si>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</si>
  <si>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</si>
  <si>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</si>
  <si>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</si>
  <si>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</si>
  <si>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</si>
  <si>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</si>
  <si>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</si>
  <si>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</si>
  <si>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</si>
  <si>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German</t>
  </si>
  <si>
    <t>Santos Amador Rosario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</si>
  <si>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</si>
  <si>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</si>
  <si>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</si>
  <si>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</si>
  <si>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</si>
  <si>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</si>
  <si>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</si>
  <si>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</si>
  <si>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</si>
  <si>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</si>
  <si>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</si>
  <si>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</si>
  <si>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</si>
  <si>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</si>
  <si>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</si>
  <si>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</si>
  <si>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</si>
  <si>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</si>
  <si>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</si>
  <si>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</si>
  <si>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</si>
  <si>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</si>
  <si>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</si>
  <si>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</si>
  <si>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</si>
  <si>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</si>
  <si>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</si>
  <si>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</si>
  <si>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</si>
  <si>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</si>
  <si>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</si>
  <si>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Warys Sanchez Montero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</si>
  <si>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</si>
  <si>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</si>
  <si>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</si>
  <si>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</si>
  <si>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</si>
  <si>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</si>
  <si>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</si>
  <si>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</si>
  <si>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</si>
  <si>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</si>
  <si>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</si>
  <si>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</si>
  <si>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</si>
  <si>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</si>
  <si>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</si>
  <si>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</si>
  <si>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</si>
  <si>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</si>
  <si>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</si>
  <si>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</si>
  <si>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</si>
  <si>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</si>
  <si>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</si>
  <si>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</si>
  <si>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</si>
  <si>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</si>
  <si>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</si>
  <si>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</si>
  <si>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</si>
  <si>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</si>
  <si>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</si>
  <si>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</si>
  <si>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</si>
  <si>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</si>
  <si>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</si>
  <si>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</si>
  <si>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</si>
  <si>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</si>
  <si>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</si>
  <si>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</si>
  <si>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</si>
  <si>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NÓMINA EMPLEADOS FIJOS CORRESPONDIENTE AL MES DE NOVIEMBRE 2023</t>
  </si>
  <si>
    <t>Ramon Adames Quezada</t>
  </si>
  <si>
    <t>Direccion General de Embellecimiento</t>
  </si>
  <si>
    <t>Asesor</t>
  </si>
  <si>
    <t>Juana Sala Madrigal</t>
  </si>
  <si>
    <t>Rodolfo Rincon</t>
  </si>
  <si>
    <t>Odalis Tavera Peguero</t>
  </si>
  <si>
    <t>Cesar Emmanuel Ramirez Abreu</t>
  </si>
  <si>
    <t>Jose Miguel Salas Rincon</t>
  </si>
  <si>
    <t>Paul Antonio Almanzar Espinal</t>
  </si>
  <si>
    <t>Secretario</t>
  </si>
  <si>
    <t>TOTAL DE EMPLEADOS (618)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</si>
</sst>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/>
    <xf numFmtId="164" fontId="0" fillId="2" borderId="0" xfId="0" applyNumberForma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39" fontId="0" fillId="2" borderId="0" xfId="0" applyNumberFormat="1" applyFill="1"/>
    <xf numFmtId="43" fontId="0" fillId="2" borderId="0" xfId="0" applyNumberFormat="1" applyFill="1"/>
    <xf numFmtId="4" fontId="6" fillId="2" borderId="0" xfId="0" applyNumberFormat="1" applyFon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3"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2864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2"/>
  <sheetViews>
    <sheetView tabSelected="1" zoomScaleNormal="100" workbookViewId="0">
      <selection activeCell="AF9" sqref="AF9"/>
    </sheetView>
  </sheetViews>
  <sheetFormatPr baseColWidth="10" defaultColWidth="11.44140625" defaultRowHeight="14.4"/>
  <cols>
    <col min="1" max="1" width="8.6640625" style="1" customWidth="1"/>
    <col min="2" max="2" width="41.664062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15.21875" style="1" bestFit="1" customWidth="1"/>
    <col min="7" max="7" width="12.109375" style="1" bestFit="1" customWidth="1"/>
    <col min="8" max="8" width="11.5546875" style="1" bestFit="1" customWidth="1"/>
    <col min="9" max="9" width="11.6640625" style="1" bestFit="1" customWidth="1"/>
    <col min="10" max="10" width="14.77734375" style="1" bestFit="1" customWidth="1"/>
    <col min="11" max="11" width="14.6640625" style="1" bestFit="1" customWidth="1"/>
    <col min="12" max="12" width="13.44140625" style="1" bestFit="1" customWidth="1"/>
    <col min="13" max="13" width="19.6640625" style="1" bestFit="1" customWidth="1"/>
    <col min="14" max="14" width="14.6640625" style="1" bestFit="1" customWidth="1"/>
    <col min="15" max="15" width="13.44140625" style="1" bestFit="1" customWidth="1"/>
    <col min="16" max="16" width="22.33203125" style="1" bestFit="1" customWidth="1"/>
    <col min="17" max="17" width="14.109375" style="1" customWidth="1"/>
    <col min="18" max="18" width="15.5546875" style="1" bestFit="1" customWidth="1"/>
    <col min="19" max="19" width="14.6640625" style="1" bestFit="1" customWidth="1"/>
    <col min="20" max="20" width="17.33203125" style="1" bestFit="1" customWidth="1"/>
    <col min="21" max="25" width="11.44140625" style="1"/>
    <col min="26" max="26" width="17.33203125" style="1" bestFit="1" customWidth="1"/>
    <col min="27" max="16384" width="11.44140625" style="1"/>
  </cols>
  <sheetData>
    <row r="9" spans="1:31" ht="15.6">
      <c r="I9" s="50" t="s">
        <v>743</v>
      </c>
      <c r="J9" s="50"/>
      <c r="K9" s="50"/>
      <c r="L9" s="50"/>
      <c r="M9" s="50"/>
      <c r="N9" s="50"/>
      <c r="O9" s="50"/>
      <c r="P9" s="5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51" t="s">
        <v>0</v>
      </c>
      <c r="L13" s="52"/>
      <c r="M13" s="52"/>
      <c r="N13" s="52"/>
      <c r="O13" s="52"/>
      <c r="P13" s="53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51" t="s">
        <v>1</v>
      </c>
      <c r="L14" s="53"/>
      <c r="M14" s="6"/>
      <c r="N14" s="51" t="s">
        <v>2</v>
      </c>
      <c r="O14" s="53"/>
      <c r="P14" s="11" t="s">
        <v>3</v>
      </c>
      <c r="Q14" s="12"/>
      <c r="R14" s="51" t="s">
        <v>4</v>
      </c>
      <c r="S14" s="53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17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18" t="s">
        <v>25</v>
      </c>
    </row>
    <row r="16" spans="1:31" ht="15.75" customHeight="1">
      <c r="A16" s="19">
        <v>1</v>
      </c>
      <c r="B16" s="19" t="s">
        <v>26</v>
      </c>
      <c r="C16" s="19" t="s">
        <v>27</v>
      </c>
      <c r="D16" s="19" t="s">
        <v>28</v>
      </c>
      <c r="E16" s="20" t="s">
        <v>29</v>
      </c>
      <c r="F16" s="21">
        <v>225000</v>
      </c>
      <c r="G16" s="22">
        <v>41797.14</v>
      </c>
      <c r="H16" s="22">
        <v>25</v>
      </c>
      <c r="I16" s="22">
        <v>0</v>
      </c>
      <c r="J16" s="22">
        <v>0</v>
      </c>
      <c r="K16" s="22">
        <f t="shared" ref="K16:K83" si="0">F16*2.87%</f>
        <v>6457.5</v>
      </c>
      <c r="L16" s="22">
        <f t="shared" ref="L16:L83" si="1">F16*7.1%</f>
        <v>15974.999999999998</v>
      </c>
      <c r="M16" s="22">
        <v>972.5</v>
      </c>
      <c r="N16" s="22">
        <v>5685.41</v>
      </c>
      <c r="O16" s="22">
        <v>13259.72</v>
      </c>
      <c r="P16" s="21">
        <v>0</v>
      </c>
      <c r="Q16" s="21">
        <f t="shared" ref="Q16:Q83" si="2">K16+N16</f>
        <v>12142.91</v>
      </c>
      <c r="R16" s="21">
        <f t="shared" ref="R16:R83" si="3">G16+H16+I16+J16+K16+N16+P16</f>
        <v>53965.05</v>
      </c>
      <c r="S16" s="21">
        <f t="shared" ref="S16:S83" si="4">L16+M16+O16</f>
        <v>30207.22</v>
      </c>
      <c r="T16" s="21">
        <f t="shared" ref="T16:T83" si="5">F16-R16</f>
        <v>171034.95</v>
      </c>
      <c r="U16" s="20" t="s">
        <v>30</v>
      </c>
    </row>
    <row r="17" spans="1:21" ht="15.75" customHeight="1">
      <c r="A17" s="23">
        <v>2</v>
      </c>
      <c r="B17" s="23" t="s">
        <v>31</v>
      </c>
      <c r="C17" s="23" t="s">
        <v>32</v>
      </c>
      <c r="D17" s="23" t="s">
        <v>28</v>
      </c>
      <c r="E17" s="24" t="s">
        <v>29</v>
      </c>
      <c r="F17" s="21">
        <v>175000</v>
      </c>
      <c r="G17" s="22">
        <v>29747.24</v>
      </c>
      <c r="H17" s="22">
        <v>25</v>
      </c>
      <c r="I17" s="22">
        <v>0</v>
      </c>
      <c r="J17" s="22">
        <v>0</v>
      </c>
      <c r="K17" s="22">
        <f t="shared" si="0"/>
        <v>5022.5</v>
      </c>
      <c r="L17" s="22">
        <f t="shared" si="1"/>
        <v>12424.999999999998</v>
      </c>
      <c r="M17" s="22">
        <v>972.5</v>
      </c>
      <c r="N17" s="22">
        <v>5320</v>
      </c>
      <c r="O17" s="22">
        <v>12407.5</v>
      </c>
      <c r="P17" s="22">
        <v>0</v>
      </c>
      <c r="Q17" s="21">
        <f t="shared" si="2"/>
        <v>10342.5</v>
      </c>
      <c r="R17" s="21">
        <f t="shared" si="3"/>
        <v>40114.740000000005</v>
      </c>
      <c r="S17" s="21">
        <f t="shared" si="4"/>
        <v>25805</v>
      </c>
      <c r="T17" s="21">
        <f t="shared" si="5"/>
        <v>134885.26</v>
      </c>
      <c r="U17" s="24" t="s">
        <v>30</v>
      </c>
    </row>
    <row r="18" spans="1:21" ht="15.75" customHeight="1">
      <c r="A18" s="23">
        <v>3</v>
      </c>
      <c r="B18" s="23" t="s">
        <v>33</v>
      </c>
      <c r="C18" s="23" t="s">
        <v>34</v>
      </c>
      <c r="D18" s="23" t="s">
        <v>35</v>
      </c>
      <c r="E18" s="24" t="s">
        <v>29</v>
      </c>
      <c r="F18" s="21">
        <v>175000</v>
      </c>
      <c r="G18" s="22">
        <v>29747.24</v>
      </c>
      <c r="H18" s="22">
        <v>25</v>
      </c>
      <c r="I18" s="22">
        <v>0</v>
      </c>
      <c r="J18" s="22">
        <f>4500+500</f>
        <v>5000</v>
      </c>
      <c r="K18" s="22">
        <f t="shared" si="0"/>
        <v>5022.5</v>
      </c>
      <c r="L18" s="22">
        <f t="shared" si="1"/>
        <v>12424.999999999998</v>
      </c>
      <c r="M18" s="22">
        <v>972.5</v>
      </c>
      <c r="N18" s="22">
        <v>5320</v>
      </c>
      <c r="O18" s="22">
        <v>12407.5</v>
      </c>
      <c r="P18" s="22">
        <v>0</v>
      </c>
      <c r="Q18" s="21">
        <f t="shared" si="2"/>
        <v>10342.5</v>
      </c>
      <c r="R18" s="21">
        <f t="shared" si="3"/>
        <v>45114.740000000005</v>
      </c>
      <c r="S18" s="21">
        <f t="shared" si="4"/>
        <v>25805</v>
      </c>
      <c r="T18" s="21">
        <f t="shared" si="5"/>
        <v>129885.26</v>
      </c>
      <c r="U18" s="24" t="s">
        <v>36</v>
      </c>
    </row>
    <row r="19" spans="1:21" ht="15.75" customHeight="1">
      <c r="A19" s="19">
        <v>4</v>
      </c>
      <c r="B19" s="23" t="s">
        <v>37</v>
      </c>
      <c r="C19" s="23" t="s">
        <v>38</v>
      </c>
      <c r="D19" s="23" t="s">
        <v>35</v>
      </c>
      <c r="E19" s="24" t="s">
        <v>29</v>
      </c>
      <c r="F19" s="21">
        <v>175000</v>
      </c>
      <c r="G19" s="22">
        <v>29747.24</v>
      </c>
      <c r="H19" s="22">
        <v>25</v>
      </c>
      <c r="I19" s="22">
        <v>0</v>
      </c>
      <c r="J19" s="22">
        <f>3700+300</f>
        <v>4000</v>
      </c>
      <c r="K19" s="22">
        <f t="shared" si="0"/>
        <v>5022.5</v>
      </c>
      <c r="L19" s="22">
        <f t="shared" si="1"/>
        <v>12424.999999999998</v>
      </c>
      <c r="M19" s="22">
        <v>972.5</v>
      </c>
      <c r="N19" s="22">
        <v>5320</v>
      </c>
      <c r="O19" s="22">
        <v>12407.5</v>
      </c>
      <c r="P19" s="22">
        <v>0</v>
      </c>
      <c r="Q19" s="21">
        <f t="shared" si="2"/>
        <v>10342.5</v>
      </c>
      <c r="R19" s="21">
        <f t="shared" si="3"/>
        <v>44114.740000000005</v>
      </c>
      <c r="S19" s="21">
        <f t="shared" si="4"/>
        <v>25805</v>
      </c>
      <c r="T19" s="21">
        <f t="shared" si="5"/>
        <v>130885.26</v>
      </c>
      <c r="U19" s="24" t="s">
        <v>30</v>
      </c>
    </row>
    <row r="20" spans="1:21" ht="15.75" customHeight="1">
      <c r="A20" s="23">
        <v>5</v>
      </c>
      <c r="B20" s="23" t="s">
        <v>39</v>
      </c>
      <c r="C20" s="23" t="s">
        <v>40</v>
      </c>
      <c r="D20" s="23" t="s">
        <v>41</v>
      </c>
      <c r="E20" s="24" t="s">
        <v>29</v>
      </c>
      <c r="F20" s="21">
        <v>175000</v>
      </c>
      <c r="G20" s="22">
        <v>29747.24</v>
      </c>
      <c r="H20" s="22">
        <v>25</v>
      </c>
      <c r="I20" s="22">
        <v>0</v>
      </c>
      <c r="J20" s="22">
        <v>0</v>
      </c>
      <c r="K20" s="22">
        <f t="shared" si="0"/>
        <v>5022.5</v>
      </c>
      <c r="L20" s="22">
        <f t="shared" si="1"/>
        <v>12424.999999999998</v>
      </c>
      <c r="M20" s="22">
        <v>972.5</v>
      </c>
      <c r="N20" s="22">
        <v>5320</v>
      </c>
      <c r="O20" s="22">
        <v>12407.5</v>
      </c>
      <c r="P20" s="22">
        <v>0</v>
      </c>
      <c r="Q20" s="21">
        <f t="shared" si="2"/>
        <v>10342.5</v>
      </c>
      <c r="R20" s="21">
        <f t="shared" si="3"/>
        <v>40114.740000000005</v>
      </c>
      <c r="S20" s="21">
        <f t="shared" si="4"/>
        <v>25805</v>
      </c>
      <c r="T20" s="21">
        <f t="shared" si="5"/>
        <v>134885.26</v>
      </c>
      <c r="U20" s="24" t="s">
        <v>30</v>
      </c>
    </row>
    <row r="21" spans="1:21" ht="15.75" customHeight="1">
      <c r="A21" s="23">
        <v>6</v>
      </c>
      <c r="B21" s="23" t="s">
        <v>42</v>
      </c>
      <c r="C21" s="23" t="s">
        <v>32</v>
      </c>
      <c r="D21" s="23" t="s">
        <v>28</v>
      </c>
      <c r="E21" s="24" t="s">
        <v>29</v>
      </c>
      <c r="F21" s="21">
        <v>150000</v>
      </c>
      <c r="G21" s="22">
        <v>23866.62</v>
      </c>
      <c r="H21" s="22">
        <v>25</v>
      </c>
      <c r="I21" s="22">
        <v>0</v>
      </c>
      <c r="J21" s="22">
        <v>0</v>
      </c>
      <c r="K21" s="22">
        <f t="shared" si="0"/>
        <v>4305</v>
      </c>
      <c r="L21" s="22">
        <f t="shared" si="1"/>
        <v>10649.999999999998</v>
      </c>
      <c r="M21" s="22">
        <v>972.5</v>
      </c>
      <c r="N21" s="22">
        <v>4560</v>
      </c>
      <c r="O21" s="22">
        <v>10635</v>
      </c>
      <c r="P21" s="22">
        <v>0</v>
      </c>
      <c r="Q21" s="21">
        <f t="shared" si="2"/>
        <v>8865</v>
      </c>
      <c r="R21" s="21">
        <f t="shared" si="3"/>
        <v>32756.62</v>
      </c>
      <c r="S21" s="21">
        <f t="shared" si="4"/>
        <v>22257.5</v>
      </c>
      <c r="T21" s="21">
        <f t="shared" si="5"/>
        <v>117243.38</v>
      </c>
      <c r="U21" s="24" t="s">
        <v>30</v>
      </c>
    </row>
    <row r="22" spans="1:21" ht="15.75" customHeight="1">
      <c r="A22" s="19">
        <v>7</v>
      </c>
      <c r="B22" s="23" t="s">
        <v>43</v>
      </c>
      <c r="C22" s="25" t="s">
        <v>32</v>
      </c>
      <c r="D22" s="23" t="s">
        <v>28</v>
      </c>
      <c r="E22" s="24" t="s">
        <v>29</v>
      </c>
      <c r="F22" s="21">
        <v>150000</v>
      </c>
      <c r="G22" s="22">
        <v>23866.62</v>
      </c>
      <c r="H22" s="22">
        <v>25</v>
      </c>
      <c r="I22" s="22">
        <v>0</v>
      </c>
      <c r="J22" s="22">
        <v>0</v>
      </c>
      <c r="K22" s="22">
        <f>F22*2.87%</f>
        <v>4305</v>
      </c>
      <c r="L22" s="22">
        <f t="shared" si="1"/>
        <v>10649.999999999998</v>
      </c>
      <c r="M22" s="22">
        <v>972.5</v>
      </c>
      <c r="N22" s="22">
        <v>4560</v>
      </c>
      <c r="O22" s="22">
        <v>10635</v>
      </c>
      <c r="P22" s="22">
        <v>0</v>
      </c>
      <c r="Q22" s="21">
        <f t="shared" si="2"/>
        <v>8865</v>
      </c>
      <c r="R22" s="21">
        <f t="shared" si="3"/>
        <v>32756.62</v>
      </c>
      <c r="S22" s="21">
        <f t="shared" si="4"/>
        <v>22257.5</v>
      </c>
      <c r="T22" s="21">
        <f t="shared" si="5"/>
        <v>117243.38</v>
      </c>
      <c r="U22" s="24" t="s">
        <v>30</v>
      </c>
    </row>
    <row r="23" spans="1:21" ht="15.75" customHeight="1">
      <c r="A23" s="23">
        <v>8</v>
      </c>
      <c r="B23" s="23" t="s">
        <v>44</v>
      </c>
      <c r="C23" s="25" t="s">
        <v>32</v>
      </c>
      <c r="D23" s="23" t="s">
        <v>28</v>
      </c>
      <c r="E23" s="24" t="s">
        <v>29</v>
      </c>
      <c r="F23" s="21">
        <v>150000</v>
      </c>
      <c r="G23" s="22">
        <v>23866.62</v>
      </c>
      <c r="H23" s="22">
        <v>25</v>
      </c>
      <c r="I23" s="22">
        <v>0</v>
      </c>
      <c r="J23" s="22">
        <v>0</v>
      </c>
      <c r="K23" s="22">
        <f t="shared" si="0"/>
        <v>4305</v>
      </c>
      <c r="L23" s="22">
        <f t="shared" si="1"/>
        <v>10649.999999999998</v>
      </c>
      <c r="M23" s="22">
        <v>972.5</v>
      </c>
      <c r="N23" s="22">
        <v>4560</v>
      </c>
      <c r="O23" s="22">
        <v>10635</v>
      </c>
      <c r="P23" s="22">
        <v>0</v>
      </c>
      <c r="Q23" s="21">
        <f t="shared" si="2"/>
        <v>8865</v>
      </c>
      <c r="R23" s="21">
        <f t="shared" si="3"/>
        <v>32756.62</v>
      </c>
      <c r="S23" s="21">
        <f t="shared" si="4"/>
        <v>22257.5</v>
      </c>
      <c r="T23" s="21">
        <f t="shared" si="5"/>
        <v>117243.38</v>
      </c>
      <c r="U23" s="24" t="s">
        <v>30</v>
      </c>
    </row>
    <row r="24" spans="1:21" ht="15.75" customHeight="1">
      <c r="A24" s="23">
        <v>9</v>
      </c>
      <c r="B24" s="23" t="s">
        <v>45</v>
      </c>
      <c r="C24" s="23" t="s">
        <v>46</v>
      </c>
      <c r="D24" s="23" t="s">
        <v>28</v>
      </c>
      <c r="E24" s="24" t="s">
        <v>29</v>
      </c>
      <c r="F24" s="21">
        <v>90000</v>
      </c>
      <c r="G24" s="22">
        <v>8959.43</v>
      </c>
      <c r="H24" s="22">
        <v>25</v>
      </c>
      <c r="I24" s="22">
        <v>0</v>
      </c>
      <c r="J24" s="22">
        <v>0</v>
      </c>
      <c r="K24" s="22">
        <f t="shared" si="0"/>
        <v>2583</v>
      </c>
      <c r="L24" s="22">
        <f t="shared" si="1"/>
        <v>6389.9999999999991</v>
      </c>
      <c r="M24" s="22">
        <v>972.5</v>
      </c>
      <c r="N24" s="22">
        <v>2736</v>
      </c>
      <c r="O24" s="22">
        <v>6381</v>
      </c>
      <c r="P24" s="22">
        <v>3174.76</v>
      </c>
      <c r="Q24" s="21">
        <f t="shared" si="2"/>
        <v>5319</v>
      </c>
      <c r="R24" s="21">
        <f t="shared" si="3"/>
        <v>17478.190000000002</v>
      </c>
      <c r="S24" s="21">
        <f t="shared" si="4"/>
        <v>13743.5</v>
      </c>
      <c r="T24" s="21">
        <f t="shared" si="5"/>
        <v>72521.81</v>
      </c>
      <c r="U24" s="24" t="s">
        <v>30</v>
      </c>
    </row>
    <row r="25" spans="1:21" ht="15.75" customHeight="1">
      <c r="A25" s="19">
        <v>10</v>
      </c>
      <c r="B25" s="23" t="s">
        <v>47</v>
      </c>
      <c r="C25" s="23" t="s">
        <v>48</v>
      </c>
      <c r="D25" s="23" t="s">
        <v>49</v>
      </c>
      <c r="E25" s="24" t="s">
        <v>29</v>
      </c>
      <c r="F25" s="21">
        <v>26000</v>
      </c>
      <c r="G25" s="22">
        <v>0</v>
      </c>
      <c r="H25" s="22">
        <v>25</v>
      </c>
      <c r="I25" s="22">
        <v>0</v>
      </c>
      <c r="J25" s="22">
        <f>500+300+2260.07</f>
        <v>3060.07</v>
      </c>
      <c r="K25" s="22">
        <f>F25*2.87%</f>
        <v>746.2</v>
      </c>
      <c r="L25" s="22">
        <f>F25*7.1%</f>
        <v>1845.9999999999998</v>
      </c>
      <c r="M25" s="22">
        <v>338</v>
      </c>
      <c r="N25" s="22">
        <v>790.4</v>
      </c>
      <c r="O25" s="22">
        <v>1843.4</v>
      </c>
      <c r="P25" s="22">
        <v>1587.38</v>
      </c>
      <c r="Q25" s="21">
        <f>K25+N25</f>
        <v>1536.6</v>
      </c>
      <c r="R25" s="21">
        <f>G25+H25+I25+J25+K25+N25+P25</f>
        <v>6209.05</v>
      </c>
      <c r="S25" s="21">
        <f>L25+M25+O25</f>
        <v>4027.4</v>
      </c>
      <c r="T25" s="21">
        <f>F25-R25</f>
        <v>19790.95</v>
      </c>
      <c r="U25" s="24" t="s">
        <v>36</v>
      </c>
    </row>
    <row r="26" spans="1:21" ht="15.75" customHeight="1">
      <c r="A26" s="23">
        <v>11</v>
      </c>
      <c r="B26" s="23" t="s">
        <v>50</v>
      </c>
      <c r="C26" s="23" t="s">
        <v>51</v>
      </c>
      <c r="D26" s="23" t="s">
        <v>52</v>
      </c>
      <c r="E26" s="24" t="s">
        <v>29</v>
      </c>
      <c r="F26" s="21">
        <v>10000</v>
      </c>
      <c r="G26" s="22">
        <v>0</v>
      </c>
      <c r="H26" s="22">
        <v>25</v>
      </c>
      <c r="I26" s="22">
        <v>0</v>
      </c>
      <c r="J26" s="22">
        <f>300+1000+860.78</f>
        <v>2160.7799999999997</v>
      </c>
      <c r="K26" s="22">
        <f>F26*2.87%</f>
        <v>287</v>
      </c>
      <c r="L26" s="22">
        <f>F26*7.1%</f>
        <v>709.99999999999989</v>
      </c>
      <c r="M26" s="22">
        <v>130</v>
      </c>
      <c r="N26" s="22">
        <v>304</v>
      </c>
      <c r="O26" s="22">
        <v>709</v>
      </c>
      <c r="P26" s="22">
        <v>0</v>
      </c>
      <c r="Q26" s="21">
        <f>K26+N26</f>
        <v>591</v>
      </c>
      <c r="R26" s="21">
        <f>G26+H26+I26+J26+K26+N26+P26</f>
        <v>2776.7799999999997</v>
      </c>
      <c r="S26" s="21">
        <f>L26+M26+O26</f>
        <v>1549</v>
      </c>
      <c r="T26" s="21">
        <f>F26-R26</f>
        <v>7223.22</v>
      </c>
      <c r="U26" s="24" t="s">
        <v>36</v>
      </c>
    </row>
    <row r="27" spans="1:21" ht="15.75" customHeight="1">
      <c r="A27" s="23">
        <v>12</v>
      </c>
      <c r="B27" s="23" t="s">
        <v>53</v>
      </c>
      <c r="C27" s="23" t="s">
        <v>54</v>
      </c>
      <c r="D27" s="23" t="s">
        <v>55</v>
      </c>
      <c r="E27" s="24" t="s">
        <v>29</v>
      </c>
      <c r="F27" s="21">
        <v>12000</v>
      </c>
      <c r="G27" s="22">
        <v>0</v>
      </c>
      <c r="H27" s="22">
        <v>25</v>
      </c>
      <c r="I27" s="22">
        <v>0</v>
      </c>
      <c r="J27" s="22">
        <v>0</v>
      </c>
      <c r="K27" s="22">
        <f>F27*2.87%</f>
        <v>344.4</v>
      </c>
      <c r="L27" s="22">
        <f>F27*7.1%</f>
        <v>851.99999999999989</v>
      </c>
      <c r="M27" s="22">
        <v>156</v>
      </c>
      <c r="N27" s="22">
        <v>364.8</v>
      </c>
      <c r="O27" s="22">
        <v>850.80000000000007</v>
      </c>
      <c r="P27" s="22">
        <v>0</v>
      </c>
      <c r="Q27" s="21">
        <f>K27+N27</f>
        <v>709.2</v>
      </c>
      <c r="R27" s="21">
        <f>G27+H27+I27+J27+K27+N27+P27</f>
        <v>734.2</v>
      </c>
      <c r="S27" s="21">
        <f>L27+M27+O27</f>
        <v>1858.8</v>
      </c>
      <c r="T27" s="21">
        <f>F27-R27</f>
        <v>11265.8</v>
      </c>
      <c r="U27" s="24" t="s">
        <v>36</v>
      </c>
    </row>
    <row r="28" spans="1:21" ht="15.75" customHeight="1">
      <c r="A28" s="19">
        <v>13</v>
      </c>
      <c r="B28" s="23" t="s">
        <v>385</v>
      </c>
      <c r="C28" s="26" t="s">
        <v>161</v>
      </c>
      <c r="D28" s="23" t="s">
        <v>98</v>
      </c>
      <c r="E28" s="27" t="s">
        <v>29</v>
      </c>
      <c r="F28" s="21">
        <v>25000</v>
      </c>
      <c r="G28" s="22">
        <v>0</v>
      </c>
      <c r="H28" s="22">
        <v>25</v>
      </c>
      <c r="I28" s="22">
        <v>0</v>
      </c>
      <c r="J28" s="22">
        <v>0</v>
      </c>
      <c r="K28" s="22">
        <f>F28*2.87%</f>
        <v>717.5</v>
      </c>
      <c r="L28" s="22">
        <f>F28*7.1%</f>
        <v>1774.9999999999998</v>
      </c>
      <c r="M28" s="22">
        <v>325</v>
      </c>
      <c r="N28" s="22">
        <v>760</v>
      </c>
      <c r="O28" s="22">
        <v>1772.5000000000002</v>
      </c>
      <c r="P28" s="22">
        <v>0</v>
      </c>
      <c r="Q28" s="21">
        <f>K28+N28</f>
        <v>1477.5</v>
      </c>
      <c r="R28" s="21">
        <f>G28+H28+I28+J28+K28+N28+P28</f>
        <v>1502.5</v>
      </c>
      <c r="S28" s="21">
        <f>L28+M28+O28</f>
        <v>3872.5</v>
      </c>
      <c r="T28" s="21">
        <f>F28-R28</f>
        <v>23497.5</v>
      </c>
      <c r="U28" s="24" t="s">
        <v>30</v>
      </c>
    </row>
    <row r="29" spans="1:21" ht="15.75" customHeight="1">
      <c r="A29" s="23">
        <v>14</v>
      </c>
      <c r="B29" s="23" t="s">
        <v>56</v>
      </c>
      <c r="C29" s="26" t="s">
        <v>57</v>
      </c>
      <c r="D29" s="23" t="s">
        <v>58</v>
      </c>
      <c r="E29" s="27" t="s">
        <v>29</v>
      </c>
      <c r="F29" s="21">
        <v>15000</v>
      </c>
      <c r="G29" s="22">
        <v>0</v>
      </c>
      <c r="H29" s="22">
        <v>25</v>
      </c>
      <c r="I29" s="22">
        <v>0</v>
      </c>
      <c r="J29" s="22">
        <f>300+1000+3492.78</f>
        <v>4792.7800000000007</v>
      </c>
      <c r="K29" s="22">
        <f>F29*2.87%</f>
        <v>430.5</v>
      </c>
      <c r="L29" s="22">
        <f>F29*7.1%</f>
        <v>1065</v>
      </c>
      <c r="M29" s="22">
        <v>195</v>
      </c>
      <c r="N29" s="22">
        <v>456</v>
      </c>
      <c r="O29" s="22">
        <v>1063.5</v>
      </c>
      <c r="P29" s="22">
        <v>0</v>
      </c>
      <c r="Q29" s="21">
        <f>K29+N29</f>
        <v>886.5</v>
      </c>
      <c r="R29" s="21">
        <f>G29+H29+I29+J29+K29+N29+P29</f>
        <v>5704.2800000000007</v>
      </c>
      <c r="S29" s="21">
        <f>L29+M29+O29</f>
        <v>2323.5</v>
      </c>
      <c r="T29" s="21">
        <f>F29-R29</f>
        <v>9295.7199999999993</v>
      </c>
      <c r="U29" s="24" t="s">
        <v>30</v>
      </c>
    </row>
    <row r="30" spans="1:21" ht="15.75" customHeight="1">
      <c r="A30" s="23">
        <v>15</v>
      </c>
      <c r="B30" s="23" t="s">
        <v>59</v>
      </c>
      <c r="C30" s="23" t="s">
        <v>60</v>
      </c>
      <c r="D30" s="23" t="s">
        <v>61</v>
      </c>
      <c r="E30" s="24" t="s">
        <v>29</v>
      </c>
      <c r="F30" s="21">
        <v>25000</v>
      </c>
      <c r="G30" s="22">
        <v>0</v>
      </c>
      <c r="H30" s="22">
        <v>25</v>
      </c>
      <c r="I30" s="22">
        <v>0</v>
      </c>
      <c r="J30" s="22">
        <f>1000+300+2373+501.2</f>
        <v>4174.2</v>
      </c>
      <c r="K30" s="22">
        <f>F30*2.87%</f>
        <v>717.5</v>
      </c>
      <c r="L30" s="22">
        <f>F30*7.1%</f>
        <v>1774.9999999999998</v>
      </c>
      <c r="M30" s="22">
        <v>325</v>
      </c>
      <c r="N30" s="22">
        <v>760</v>
      </c>
      <c r="O30" s="22">
        <v>1772.5000000000002</v>
      </c>
      <c r="P30" s="22">
        <v>0</v>
      </c>
      <c r="Q30" s="21">
        <f>K30+N30</f>
        <v>1477.5</v>
      </c>
      <c r="R30" s="21">
        <f>G30+H30+I30+J30+K30+N30+P30</f>
        <v>5676.7</v>
      </c>
      <c r="S30" s="21">
        <f>L30+M30+O30</f>
        <v>3872.5</v>
      </c>
      <c r="T30" s="21">
        <f>F30-R30</f>
        <v>19323.3</v>
      </c>
      <c r="U30" s="24" t="s">
        <v>30</v>
      </c>
    </row>
    <row r="31" spans="1:21" ht="15.75" customHeight="1">
      <c r="A31" s="19">
        <v>16</v>
      </c>
      <c r="B31" s="23" t="s">
        <v>62</v>
      </c>
      <c r="C31" s="23" t="s">
        <v>63</v>
      </c>
      <c r="D31" s="23" t="s">
        <v>64</v>
      </c>
      <c r="E31" s="24" t="s">
        <v>29</v>
      </c>
      <c r="F31" s="21">
        <v>20000</v>
      </c>
      <c r="G31" s="22">
        <v>0</v>
      </c>
      <c r="H31" s="22">
        <v>25</v>
      </c>
      <c r="I31" s="22">
        <v>0</v>
      </c>
      <c r="J31" s="22">
        <v>0</v>
      </c>
      <c r="K31" s="22">
        <f>F31*2.87%</f>
        <v>574</v>
      </c>
      <c r="L31" s="22">
        <f>F31*7.1%</f>
        <v>1419.9999999999998</v>
      </c>
      <c r="M31" s="22">
        <v>260</v>
      </c>
      <c r="N31" s="22">
        <v>608</v>
      </c>
      <c r="O31" s="22">
        <v>1418</v>
      </c>
      <c r="P31" s="22">
        <v>0</v>
      </c>
      <c r="Q31" s="21">
        <f>K31+N31</f>
        <v>1182</v>
      </c>
      <c r="R31" s="21">
        <f>G31+H31+I31+J31+K31+N31+P31</f>
        <v>1207</v>
      </c>
      <c r="S31" s="21">
        <f>L31+M31+O31</f>
        <v>3098</v>
      </c>
      <c r="T31" s="21">
        <f>F31-R31</f>
        <v>18793</v>
      </c>
      <c r="U31" s="24" t="s">
        <v>30</v>
      </c>
    </row>
    <row r="32" spans="1:21" ht="15.75" customHeight="1">
      <c r="A32" s="23">
        <v>17</v>
      </c>
      <c r="B32" s="23" t="s">
        <v>65</v>
      </c>
      <c r="C32" s="23" t="s">
        <v>66</v>
      </c>
      <c r="D32" s="23" t="s">
        <v>58</v>
      </c>
      <c r="E32" s="24" t="s">
        <v>29</v>
      </c>
      <c r="F32" s="21">
        <v>15000</v>
      </c>
      <c r="G32" s="22">
        <v>0</v>
      </c>
      <c r="H32" s="22">
        <v>25</v>
      </c>
      <c r="I32" s="22">
        <v>0</v>
      </c>
      <c r="J32" s="22">
        <v>0</v>
      </c>
      <c r="K32" s="22">
        <f>F32*2.87%</f>
        <v>430.5</v>
      </c>
      <c r="L32" s="22">
        <f>F32*7.1%</f>
        <v>1065</v>
      </c>
      <c r="M32" s="22">
        <v>195</v>
      </c>
      <c r="N32" s="22">
        <v>456</v>
      </c>
      <c r="O32" s="22">
        <v>1063.5</v>
      </c>
      <c r="P32" s="22">
        <v>0</v>
      </c>
      <c r="Q32" s="21">
        <f>K32+N32</f>
        <v>886.5</v>
      </c>
      <c r="R32" s="21">
        <f>G32+H32+I32+J32+K32+N32+P32</f>
        <v>911.5</v>
      </c>
      <c r="S32" s="21">
        <f>L32+M32+O32</f>
        <v>2323.5</v>
      </c>
      <c r="T32" s="21">
        <f>F32-R32</f>
        <v>14088.5</v>
      </c>
      <c r="U32" s="24" t="s">
        <v>30</v>
      </c>
    </row>
    <row r="33" spans="1:21" ht="15.75" customHeight="1">
      <c r="A33" s="23">
        <v>18</v>
      </c>
      <c r="B33" s="23" t="s">
        <v>67</v>
      </c>
      <c r="C33" s="23" t="s">
        <v>68</v>
      </c>
      <c r="D33" s="23" t="s">
        <v>69</v>
      </c>
      <c r="E33" s="24" t="s">
        <v>29</v>
      </c>
      <c r="F33" s="21">
        <v>13000</v>
      </c>
      <c r="G33" s="22">
        <v>0</v>
      </c>
      <c r="H33" s="22">
        <v>25</v>
      </c>
      <c r="I33" s="22">
        <v>0</v>
      </c>
      <c r="J33" s="22">
        <f>300+300+4021.15</f>
        <v>4621.1499999999996</v>
      </c>
      <c r="K33" s="22">
        <f>F33*2.87%</f>
        <v>373.1</v>
      </c>
      <c r="L33" s="22">
        <f>F33*7.1%</f>
        <v>922.99999999999989</v>
      </c>
      <c r="M33" s="22">
        <v>169</v>
      </c>
      <c r="N33" s="22">
        <v>395.2</v>
      </c>
      <c r="O33" s="22">
        <v>921.7</v>
      </c>
      <c r="P33" s="22">
        <v>0</v>
      </c>
      <c r="Q33" s="21">
        <f>K33+N33</f>
        <v>768.3</v>
      </c>
      <c r="R33" s="21">
        <f>G33+H33+I33+J33+K33+N33+P33</f>
        <v>5414.45</v>
      </c>
      <c r="S33" s="21">
        <f>L33+M33+O33</f>
        <v>2013.7</v>
      </c>
      <c r="T33" s="21">
        <f>F33-R33</f>
        <v>7585.55</v>
      </c>
      <c r="U33" s="24" t="s">
        <v>36</v>
      </c>
    </row>
    <row r="34" spans="1:21" ht="15.75" customHeight="1">
      <c r="A34" s="19">
        <v>19</v>
      </c>
      <c r="B34" s="23" t="s">
        <v>70</v>
      </c>
      <c r="C34" s="23" t="s">
        <v>71</v>
      </c>
      <c r="D34" s="23" t="s">
        <v>72</v>
      </c>
      <c r="E34" s="24" t="s">
        <v>29</v>
      </c>
      <c r="F34" s="21">
        <v>15000</v>
      </c>
      <c r="G34" s="22">
        <v>0</v>
      </c>
      <c r="H34" s="22">
        <v>25</v>
      </c>
      <c r="I34" s="22">
        <v>0</v>
      </c>
      <c r="J34" s="22">
        <f>1000+300+583.9</f>
        <v>1883.9</v>
      </c>
      <c r="K34" s="22">
        <f>F34*2.87%</f>
        <v>430.5</v>
      </c>
      <c r="L34" s="22">
        <f>F34*7.1%</f>
        <v>1065</v>
      </c>
      <c r="M34" s="22">
        <v>195</v>
      </c>
      <c r="N34" s="22">
        <v>456</v>
      </c>
      <c r="O34" s="22">
        <v>1063.5</v>
      </c>
      <c r="P34" s="22">
        <v>0</v>
      </c>
      <c r="Q34" s="21">
        <f>K34+N34</f>
        <v>886.5</v>
      </c>
      <c r="R34" s="21">
        <f>G34+H34+I34+J34+K34+N34+P34</f>
        <v>2795.4</v>
      </c>
      <c r="S34" s="21">
        <f>L34+M34+O34</f>
        <v>2323.5</v>
      </c>
      <c r="T34" s="21">
        <f>F34-R34</f>
        <v>12204.6</v>
      </c>
      <c r="U34" s="24" t="s">
        <v>36</v>
      </c>
    </row>
    <row r="35" spans="1:21" ht="15.75" customHeight="1">
      <c r="A35" s="23">
        <v>20</v>
      </c>
      <c r="B35" s="23" t="s">
        <v>73</v>
      </c>
      <c r="C35" s="23" t="s">
        <v>71</v>
      </c>
      <c r="D35" s="23" t="s">
        <v>72</v>
      </c>
      <c r="E35" s="24" t="s">
        <v>29</v>
      </c>
      <c r="F35" s="21">
        <v>18000</v>
      </c>
      <c r="G35" s="22">
        <v>0</v>
      </c>
      <c r="H35" s="22">
        <v>25</v>
      </c>
      <c r="I35" s="22">
        <v>0</v>
      </c>
      <c r="J35" s="22">
        <f>1000+300+2720.94</f>
        <v>4020.94</v>
      </c>
      <c r="K35" s="22">
        <f>F35*2.87%</f>
        <v>516.6</v>
      </c>
      <c r="L35" s="22">
        <f>F35*7.1%</f>
        <v>1277.9999999999998</v>
      </c>
      <c r="M35" s="22">
        <v>234</v>
      </c>
      <c r="N35" s="22">
        <v>547.20000000000005</v>
      </c>
      <c r="O35" s="22">
        <v>1276.2</v>
      </c>
      <c r="P35" s="22">
        <v>0</v>
      </c>
      <c r="Q35" s="21">
        <f>K35+N35</f>
        <v>1063.8000000000002</v>
      </c>
      <c r="R35" s="21">
        <f>G35+H35+I35+J35+K35+N35+P35</f>
        <v>5109.74</v>
      </c>
      <c r="S35" s="21">
        <f>L35+M35+O35</f>
        <v>2788.2</v>
      </c>
      <c r="T35" s="21">
        <f>F35-R35</f>
        <v>12890.26</v>
      </c>
      <c r="U35" s="24" t="s">
        <v>36</v>
      </c>
    </row>
    <row r="36" spans="1:21" ht="15.75" customHeight="1">
      <c r="A36" s="23">
        <v>21</v>
      </c>
      <c r="B36" s="23" t="s">
        <v>74</v>
      </c>
      <c r="C36" s="23" t="s">
        <v>68</v>
      </c>
      <c r="D36" s="23" t="s">
        <v>58</v>
      </c>
      <c r="E36" s="24" t="s">
        <v>29</v>
      </c>
      <c r="F36" s="21">
        <v>20000</v>
      </c>
      <c r="G36" s="22">
        <v>0</v>
      </c>
      <c r="H36" s="22">
        <v>25</v>
      </c>
      <c r="I36" s="22">
        <v>0</v>
      </c>
      <c r="J36" s="22">
        <f>4700+300</f>
        <v>5000</v>
      </c>
      <c r="K36" s="22">
        <f>F36*2.87%</f>
        <v>574</v>
      </c>
      <c r="L36" s="22">
        <f>F36*7.1%</f>
        <v>1419.9999999999998</v>
      </c>
      <c r="M36" s="22">
        <v>260</v>
      </c>
      <c r="N36" s="22">
        <v>608</v>
      </c>
      <c r="O36" s="22">
        <v>1418</v>
      </c>
      <c r="P36" s="22">
        <v>0</v>
      </c>
      <c r="Q36" s="21">
        <f>K36+N36</f>
        <v>1182</v>
      </c>
      <c r="R36" s="21">
        <f>G36+H36+I36+J36+K36+N36+P36</f>
        <v>6207</v>
      </c>
      <c r="S36" s="21">
        <f>L36+M36+O36</f>
        <v>3098</v>
      </c>
      <c r="T36" s="21">
        <f>F36-R36</f>
        <v>13793</v>
      </c>
      <c r="U36" s="24" t="s">
        <v>36</v>
      </c>
    </row>
    <row r="37" spans="1:21" ht="15.75" customHeight="1">
      <c r="A37" s="19">
        <v>22</v>
      </c>
      <c r="B37" s="23" t="s">
        <v>75</v>
      </c>
      <c r="C37" s="23" t="s">
        <v>60</v>
      </c>
      <c r="D37" s="23" t="s">
        <v>72</v>
      </c>
      <c r="E37" s="24" t="s">
        <v>29</v>
      </c>
      <c r="F37" s="21">
        <v>25000</v>
      </c>
      <c r="G37" s="22">
        <v>0</v>
      </c>
      <c r="H37" s="22">
        <v>25</v>
      </c>
      <c r="I37" s="22">
        <v>0</v>
      </c>
      <c r="J37" s="22">
        <v>0</v>
      </c>
      <c r="K37" s="22">
        <f>F37*2.87%</f>
        <v>717.5</v>
      </c>
      <c r="L37" s="22">
        <f>F37*7.1%</f>
        <v>1774.9999999999998</v>
      </c>
      <c r="M37" s="22">
        <v>325</v>
      </c>
      <c r="N37" s="22">
        <v>760</v>
      </c>
      <c r="O37" s="22">
        <v>1772.5000000000002</v>
      </c>
      <c r="P37" s="22">
        <v>0</v>
      </c>
      <c r="Q37" s="21">
        <f>K37+N37</f>
        <v>1477.5</v>
      </c>
      <c r="R37" s="21">
        <f>G37+H37+I37+J37+K37+N37+P37</f>
        <v>1502.5</v>
      </c>
      <c r="S37" s="21">
        <f>L37+M37+O37</f>
        <v>3872.5</v>
      </c>
      <c r="T37" s="21">
        <f>F37-R37</f>
        <v>23497.5</v>
      </c>
      <c r="U37" s="24" t="s">
        <v>30</v>
      </c>
    </row>
    <row r="38" spans="1:21" ht="15.75" customHeight="1">
      <c r="A38" s="23">
        <v>23</v>
      </c>
      <c r="B38" s="23" t="s">
        <v>76</v>
      </c>
      <c r="C38" s="23" t="s">
        <v>77</v>
      </c>
      <c r="D38" s="23" t="s">
        <v>78</v>
      </c>
      <c r="E38" s="24" t="s">
        <v>29</v>
      </c>
      <c r="F38" s="21">
        <v>11000</v>
      </c>
      <c r="G38" s="22">
        <v>0</v>
      </c>
      <c r="H38" s="22">
        <v>25</v>
      </c>
      <c r="I38" s="22">
        <v>0</v>
      </c>
      <c r="J38" s="22">
        <v>0</v>
      </c>
      <c r="K38" s="22">
        <f>F38*2.87%</f>
        <v>315.7</v>
      </c>
      <c r="L38" s="22">
        <f>F38*7.1%</f>
        <v>780.99999999999989</v>
      </c>
      <c r="M38" s="22">
        <v>143</v>
      </c>
      <c r="N38" s="22">
        <v>334.4</v>
      </c>
      <c r="O38" s="22">
        <v>779.90000000000009</v>
      </c>
      <c r="P38" s="22">
        <v>0</v>
      </c>
      <c r="Q38" s="21">
        <f>K38+N38</f>
        <v>650.09999999999991</v>
      </c>
      <c r="R38" s="21">
        <f>G38+H38+I38+J38+K38+N38+P38</f>
        <v>675.09999999999991</v>
      </c>
      <c r="S38" s="21">
        <f>L38+M38+O38</f>
        <v>1703.9</v>
      </c>
      <c r="T38" s="21">
        <f>F38-R38</f>
        <v>10324.9</v>
      </c>
      <c r="U38" s="24" t="s">
        <v>30</v>
      </c>
    </row>
    <row r="39" spans="1:21" ht="15.75" customHeight="1">
      <c r="A39" s="23">
        <v>24</v>
      </c>
      <c r="B39" s="23" t="s">
        <v>79</v>
      </c>
      <c r="C39" s="23" t="s">
        <v>80</v>
      </c>
      <c r="D39" s="23" t="s">
        <v>81</v>
      </c>
      <c r="E39" s="24" t="s">
        <v>29</v>
      </c>
      <c r="F39" s="21">
        <v>35438.239999999998</v>
      </c>
      <c r="G39" s="22">
        <v>0</v>
      </c>
      <c r="H39" s="22">
        <v>25</v>
      </c>
      <c r="I39" s="22">
        <v>0</v>
      </c>
      <c r="J39" s="22">
        <v>0</v>
      </c>
      <c r="K39" s="22">
        <f>F39*2.87%</f>
        <v>1017.0774879999999</v>
      </c>
      <c r="L39" s="22">
        <f>F39*7.1%</f>
        <v>2516.1150399999997</v>
      </c>
      <c r="M39" s="22">
        <v>460.7</v>
      </c>
      <c r="N39" s="22">
        <v>1077.322496</v>
      </c>
      <c r="O39" s="22">
        <v>2512.5712159999998</v>
      </c>
      <c r="P39" s="22">
        <v>0</v>
      </c>
      <c r="Q39" s="21">
        <f>K39+N39</f>
        <v>2094.3999839999997</v>
      </c>
      <c r="R39" s="21">
        <f>G39+H39+I39+J39+K39+N39+P39</f>
        <v>2119.3999839999997</v>
      </c>
      <c r="S39" s="21">
        <f>L39+M39+O39</f>
        <v>5489.3862559999998</v>
      </c>
      <c r="T39" s="21">
        <f>F39-R39</f>
        <v>33318.840016000002</v>
      </c>
      <c r="U39" s="24" t="s">
        <v>30</v>
      </c>
    </row>
    <row r="40" spans="1:21" ht="15.75" customHeight="1">
      <c r="A40" s="19">
        <v>25</v>
      </c>
      <c r="B40" s="23" t="s">
        <v>82</v>
      </c>
      <c r="C40" s="23" t="s">
        <v>71</v>
      </c>
      <c r="D40" s="23" t="s">
        <v>72</v>
      </c>
      <c r="E40" s="24" t="s">
        <v>29</v>
      </c>
      <c r="F40" s="21">
        <v>15000</v>
      </c>
      <c r="G40" s="22">
        <v>0</v>
      </c>
      <c r="H40" s="22">
        <v>25</v>
      </c>
      <c r="I40" s="22">
        <v>0</v>
      </c>
      <c r="J40" s="22">
        <v>0</v>
      </c>
      <c r="K40" s="22">
        <f>F40*2.87%</f>
        <v>430.5</v>
      </c>
      <c r="L40" s="22">
        <f>F40*7.1%</f>
        <v>1065</v>
      </c>
      <c r="M40" s="22">
        <v>195</v>
      </c>
      <c r="N40" s="22">
        <v>456</v>
      </c>
      <c r="O40" s="22">
        <v>1063.5</v>
      </c>
      <c r="P40" s="22">
        <v>0</v>
      </c>
      <c r="Q40" s="21">
        <f>K40+N40</f>
        <v>886.5</v>
      </c>
      <c r="R40" s="21">
        <f>G40+H40+I40+J40+K40+N40+P40</f>
        <v>911.5</v>
      </c>
      <c r="S40" s="21">
        <f>L40+M40+O40</f>
        <v>2323.5</v>
      </c>
      <c r="T40" s="21">
        <f>F40-R40</f>
        <v>14088.5</v>
      </c>
      <c r="U40" s="24" t="s">
        <v>36</v>
      </c>
    </row>
    <row r="41" spans="1:21" ht="15.75" customHeight="1">
      <c r="A41" s="23">
        <v>26</v>
      </c>
      <c r="B41" s="23" t="s">
        <v>83</v>
      </c>
      <c r="C41" s="23" t="s">
        <v>68</v>
      </c>
      <c r="D41" s="23" t="s">
        <v>72</v>
      </c>
      <c r="E41" s="24" t="s">
        <v>29</v>
      </c>
      <c r="F41" s="21">
        <v>15000</v>
      </c>
      <c r="G41" s="22">
        <v>0</v>
      </c>
      <c r="H41" s="22">
        <v>25</v>
      </c>
      <c r="I41" s="22">
        <v>0</v>
      </c>
      <c r="J41" s="22">
        <f>700+300+1881.26</f>
        <v>2881.26</v>
      </c>
      <c r="K41" s="22">
        <f>F41*2.87%</f>
        <v>430.5</v>
      </c>
      <c r="L41" s="22">
        <f>F41*7.1%</f>
        <v>1065</v>
      </c>
      <c r="M41" s="22">
        <v>195</v>
      </c>
      <c r="N41" s="22">
        <v>456</v>
      </c>
      <c r="O41" s="22">
        <v>1063.5</v>
      </c>
      <c r="P41" s="22">
        <v>0</v>
      </c>
      <c r="Q41" s="21">
        <f>K41+N41</f>
        <v>886.5</v>
      </c>
      <c r="R41" s="21">
        <f>G41+H41+I41+J41+K41+N41+P41</f>
        <v>3792.76</v>
      </c>
      <c r="S41" s="21">
        <f>L41+M41+O41</f>
        <v>2323.5</v>
      </c>
      <c r="T41" s="21">
        <f>F41-R41</f>
        <v>11207.24</v>
      </c>
      <c r="U41" s="24" t="s">
        <v>36</v>
      </c>
    </row>
    <row r="42" spans="1:21" ht="15.75" customHeight="1">
      <c r="A42" s="23">
        <v>27</v>
      </c>
      <c r="B42" s="23" t="s">
        <v>84</v>
      </c>
      <c r="C42" s="23" t="s">
        <v>68</v>
      </c>
      <c r="D42" s="19" t="s">
        <v>58</v>
      </c>
      <c r="E42" s="24" t="s">
        <v>29</v>
      </c>
      <c r="F42" s="21">
        <v>10000</v>
      </c>
      <c r="G42" s="22">
        <v>0</v>
      </c>
      <c r="H42" s="22">
        <v>25</v>
      </c>
      <c r="I42" s="22">
        <v>0</v>
      </c>
      <c r="J42" s="22">
        <f>300+300+3531.83</f>
        <v>4131.83</v>
      </c>
      <c r="K42" s="22">
        <f>F42*2.87%</f>
        <v>287</v>
      </c>
      <c r="L42" s="22">
        <f>F42*7.1%</f>
        <v>709.99999999999989</v>
      </c>
      <c r="M42" s="22">
        <v>130</v>
      </c>
      <c r="N42" s="22">
        <v>304</v>
      </c>
      <c r="O42" s="22">
        <v>709</v>
      </c>
      <c r="P42" s="22">
        <v>0</v>
      </c>
      <c r="Q42" s="21">
        <f>K42+N42</f>
        <v>591</v>
      </c>
      <c r="R42" s="21">
        <f>G42+H42+I42+J42+K42+N42+P42</f>
        <v>4747.83</v>
      </c>
      <c r="S42" s="21">
        <f>L42+M42+O42</f>
        <v>1549</v>
      </c>
      <c r="T42" s="21">
        <f>F42-R42</f>
        <v>5252.17</v>
      </c>
      <c r="U42" s="24" t="s">
        <v>36</v>
      </c>
    </row>
    <row r="43" spans="1:21" ht="15.75" customHeight="1">
      <c r="A43" s="19">
        <v>28</v>
      </c>
      <c r="B43" s="23" t="s">
        <v>85</v>
      </c>
      <c r="C43" s="23" t="s">
        <v>48</v>
      </c>
      <c r="D43" s="23" t="s">
        <v>86</v>
      </c>
      <c r="E43" s="24" t="s">
        <v>29</v>
      </c>
      <c r="F43" s="21">
        <v>20000</v>
      </c>
      <c r="G43" s="22">
        <v>0</v>
      </c>
      <c r="H43" s="22">
        <v>25</v>
      </c>
      <c r="I43" s="22">
        <v>0</v>
      </c>
      <c r="J43" s="22">
        <v>0</v>
      </c>
      <c r="K43" s="22">
        <f>F43*2.87%</f>
        <v>574</v>
      </c>
      <c r="L43" s="22">
        <f>F43*7.1%</f>
        <v>1419.9999999999998</v>
      </c>
      <c r="M43" s="22">
        <v>260</v>
      </c>
      <c r="N43" s="22">
        <v>608</v>
      </c>
      <c r="O43" s="22">
        <v>1418</v>
      </c>
      <c r="P43" s="22">
        <v>0</v>
      </c>
      <c r="Q43" s="21">
        <f>K43+N43</f>
        <v>1182</v>
      </c>
      <c r="R43" s="21">
        <f>G43+H43+I43+J43+K43+N43+P43</f>
        <v>1207</v>
      </c>
      <c r="S43" s="21">
        <f>L43+M43+O43</f>
        <v>3098</v>
      </c>
      <c r="T43" s="21">
        <f>F43-R43</f>
        <v>18793</v>
      </c>
      <c r="U43" s="24" t="s">
        <v>36</v>
      </c>
    </row>
    <row r="44" spans="1:21" ht="15.75" customHeight="1">
      <c r="A44" s="23">
        <v>29</v>
      </c>
      <c r="B44" s="23" t="s">
        <v>87</v>
      </c>
      <c r="C44" s="23" t="s">
        <v>88</v>
      </c>
      <c r="D44" s="23" t="s">
        <v>61</v>
      </c>
      <c r="E44" s="24" t="s">
        <v>29</v>
      </c>
      <c r="F44" s="21">
        <v>15000</v>
      </c>
      <c r="G44" s="22">
        <v>0</v>
      </c>
      <c r="H44" s="22">
        <v>25</v>
      </c>
      <c r="I44" s="22">
        <v>0</v>
      </c>
      <c r="J44" s="22">
        <v>0</v>
      </c>
      <c r="K44" s="22">
        <f>F44*2.87%</f>
        <v>430.5</v>
      </c>
      <c r="L44" s="22">
        <f>F44*7.1%</f>
        <v>1065</v>
      </c>
      <c r="M44" s="22">
        <v>195</v>
      </c>
      <c r="N44" s="22">
        <v>456</v>
      </c>
      <c r="O44" s="22">
        <v>1063.5</v>
      </c>
      <c r="P44" s="22">
        <v>0</v>
      </c>
      <c r="Q44" s="21">
        <f>K44+N44</f>
        <v>886.5</v>
      </c>
      <c r="R44" s="21">
        <f>G44+H44+I44+J44+K44+N44+P44</f>
        <v>911.5</v>
      </c>
      <c r="S44" s="21">
        <f>L44+M44+O44</f>
        <v>2323.5</v>
      </c>
      <c r="T44" s="21">
        <f>F44-R44</f>
        <v>14088.5</v>
      </c>
      <c r="U44" s="24" t="s">
        <v>36</v>
      </c>
    </row>
    <row r="45" spans="1:21" ht="15.75" customHeight="1">
      <c r="A45" s="23">
        <v>30</v>
      </c>
      <c r="B45" s="23" t="s">
        <v>89</v>
      </c>
      <c r="C45" s="23" t="s">
        <v>77</v>
      </c>
      <c r="D45" s="23" t="s">
        <v>61</v>
      </c>
      <c r="E45" s="24" t="s">
        <v>29</v>
      </c>
      <c r="F45" s="21">
        <v>10000</v>
      </c>
      <c r="G45" s="22">
        <v>0</v>
      </c>
      <c r="H45" s="22">
        <v>25</v>
      </c>
      <c r="I45" s="22">
        <v>0</v>
      </c>
      <c r="J45" s="22">
        <v>0</v>
      </c>
      <c r="K45" s="22">
        <f>F45*2.87%</f>
        <v>287</v>
      </c>
      <c r="L45" s="22">
        <f>F45*7.1%</f>
        <v>709.99999999999989</v>
      </c>
      <c r="M45" s="22">
        <v>130</v>
      </c>
      <c r="N45" s="22">
        <v>304</v>
      </c>
      <c r="O45" s="22">
        <v>709</v>
      </c>
      <c r="P45" s="22">
        <v>0</v>
      </c>
      <c r="Q45" s="21">
        <f>K45+N45</f>
        <v>591</v>
      </c>
      <c r="R45" s="21">
        <f>G45+H45+I45+J45+K45+N45+P45</f>
        <v>616</v>
      </c>
      <c r="S45" s="21">
        <f>L45+M45+O45</f>
        <v>1549</v>
      </c>
      <c r="T45" s="21">
        <f>F45-R45</f>
        <v>9384</v>
      </c>
      <c r="U45" s="24" t="s">
        <v>30</v>
      </c>
    </row>
    <row r="46" spans="1:21" ht="15.75" customHeight="1">
      <c r="A46" s="19">
        <v>31</v>
      </c>
      <c r="B46" s="23" t="s">
        <v>90</v>
      </c>
      <c r="C46" s="23" t="s">
        <v>68</v>
      </c>
      <c r="D46" s="23" t="s">
        <v>41</v>
      </c>
      <c r="E46" s="24" t="s">
        <v>29</v>
      </c>
      <c r="F46" s="21">
        <v>25000</v>
      </c>
      <c r="G46" s="22">
        <v>0</v>
      </c>
      <c r="H46" s="22">
        <v>25</v>
      </c>
      <c r="I46" s="22">
        <v>0</v>
      </c>
      <c r="J46" s="22">
        <f>500+1000+2809.98</f>
        <v>4309.9799999999996</v>
      </c>
      <c r="K46" s="22">
        <f>F46*2.87%</f>
        <v>717.5</v>
      </c>
      <c r="L46" s="22">
        <f>F46*7.1%</f>
        <v>1774.9999999999998</v>
      </c>
      <c r="M46" s="22">
        <v>325</v>
      </c>
      <c r="N46" s="22">
        <v>760</v>
      </c>
      <c r="O46" s="22">
        <v>1772.5000000000002</v>
      </c>
      <c r="P46" s="22">
        <v>0</v>
      </c>
      <c r="Q46" s="21">
        <f>K46+N46</f>
        <v>1477.5</v>
      </c>
      <c r="R46" s="21">
        <f>G46+H46+I46+J46+K46+N46+P46</f>
        <v>5812.48</v>
      </c>
      <c r="S46" s="21">
        <f>L46+M46+O46</f>
        <v>3872.5</v>
      </c>
      <c r="T46" s="21">
        <f>F46-R46</f>
        <v>19187.52</v>
      </c>
      <c r="U46" s="24" t="s">
        <v>30</v>
      </c>
    </row>
    <row r="47" spans="1:21" ht="15.75" customHeight="1">
      <c r="A47" s="23">
        <v>32</v>
      </c>
      <c r="B47" s="23" t="s">
        <v>91</v>
      </c>
      <c r="C47" s="23" t="s">
        <v>92</v>
      </c>
      <c r="D47" s="23" t="s">
        <v>61</v>
      </c>
      <c r="E47" s="24" t="s">
        <v>29</v>
      </c>
      <c r="F47" s="21">
        <v>65000</v>
      </c>
      <c r="G47" s="22">
        <v>4427.58</v>
      </c>
      <c r="H47" s="22">
        <v>25</v>
      </c>
      <c r="I47" s="22">
        <v>0</v>
      </c>
      <c r="J47" s="22">
        <v>0</v>
      </c>
      <c r="K47" s="22">
        <f>F47*2.87%</f>
        <v>1865.5</v>
      </c>
      <c r="L47" s="22">
        <f>F47*7.1%</f>
        <v>4615</v>
      </c>
      <c r="M47" s="22">
        <v>845</v>
      </c>
      <c r="N47" s="22">
        <v>1976</v>
      </c>
      <c r="O47" s="22">
        <v>4608.5</v>
      </c>
      <c r="P47" s="22">
        <v>0</v>
      </c>
      <c r="Q47" s="21">
        <f>K47+N47</f>
        <v>3841.5</v>
      </c>
      <c r="R47" s="21">
        <f>G47+H47+I47+J47+K47+N47+P47</f>
        <v>8294.08</v>
      </c>
      <c r="S47" s="21">
        <f>L47+M47+O47</f>
        <v>10068.5</v>
      </c>
      <c r="T47" s="21">
        <f>F47-R47</f>
        <v>56705.919999999998</v>
      </c>
      <c r="U47" s="24" t="s">
        <v>30</v>
      </c>
    </row>
    <row r="48" spans="1:21" ht="15.75" customHeight="1">
      <c r="A48" s="23">
        <v>33</v>
      </c>
      <c r="B48" s="23" t="s">
        <v>93</v>
      </c>
      <c r="C48" s="23" t="s">
        <v>94</v>
      </c>
      <c r="D48" s="23" t="s">
        <v>55</v>
      </c>
      <c r="E48" s="24" t="s">
        <v>29</v>
      </c>
      <c r="F48" s="21">
        <v>25000</v>
      </c>
      <c r="G48" s="22">
        <v>0</v>
      </c>
      <c r="H48" s="22">
        <v>25</v>
      </c>
      <c r="I48" s="22">
        <v>0</v>
      </c>
      <c r="J48" s="22">
        <f>1000+1000</f>
        <v>2000</v>
      </c>
      <c r="K48" s="22">
        <f>F48*2.87%</f>
        <v>717.5</v>
      </c>
      <c r="L48" s="22">
        <f>F48*7.1%</f>
        <v>1774.9999999999998</v>
      </c>
      <c r="M48" s="22">
        <v>325</v>
      </c>
      <c r="N48" s="22">
        <v>760</v>
      </c>
      <c r="O48" s="22">
        <v>1772.5000000000002</v>
      </c>
      <c r="P48" s="22">
        <v>0</v>
      </c>
      <c r="Q48" s="21">
        <f>K48+N48</f>
        <v>1477.5</v>
      </c>
      <c r="R48" s="21">
        <f>G48+H48+I48+J48+K48+N48+P48</f>
        <v>3502.5</v>
      </c>
      <c r="S48" s="21">
        <f>L48+M48+O48</f>
        <v>3872.5</v>
      </c>
      <c r="T48" s="21">
        <f>F48-R48</f>
        <v>21497.5</v>
      </c>
      <c r="U48" s="24" t="s">
        <v>30</v>
      </c>
    </row>
    <row r="49" spans="1:21" ht="15.75" customHeight="1">
      <c r="A49" s="19">
        <v>34</v>
      </c>
      <c r="B49" s="23" t="s">
        <v>95</v>
      </c>
      <c r="C49" s="23" t="s">
        <v>96</v>
      </c>
      <c r="D49" s="23" t="s">
        <v>49</v>
      </c>
      <c r="E49" s="24" t="s">
        <v>29</v>
      </c>
      <c r="F49" s="21">
        <v>13000</v>
      </c>
      <c r="G49" s="22">
        <v>0</v>
      </c>
      <c r="H49" s="22">
        <v>25</v>
      </c>
      <c r="I49" s="22">
        <v>0</v>
      </c>
      <c r="J49" s="22">
        <f>500+300+5321.41</f>
        <v>6121.41</v>
      </c>
      <c r="K49" s="22">
        <f>F49*2.87%</f>
        <v>373.1</v>
      </c>
      <c r="L49" s="22">
        <f>F49*7.1%</f>
        <v>922.99999999999989</v>
      </c>
      <c r="M49" s="22">
        <v>169</v>
      </c>
      <c r="N49" s="22">
        <v>395.2</v>
      </c>
      <c r="O49" s="22">
        <v>921.7</v>
      </c>
      <c r="P49" s="22">
        <v>0</v>
      </c>
      <c r="Q49" s="21">
        <f>K49+N49</f>
        <v>768.3</v>
      </c>
      <c r="R49" s="21">
        <f>G49+H49+I49+J49+K49+N49+P49</f>
        <v>6914.71</v>
      </c>
      <c r="S49" s="21">
        <f>L49+M49+O49</f>
        <v>2013.7</v>
      </c>
      <c r="T49" s="21">
        <f>F49-R49</f>
        <v>6085.29</v>
      </c>
      <c r="U49" s="24" t="s">
        <v>30</v>
      </c>
    </row>
    <row r="50" spans="1:21" ht="15.75" customHeight="1">
      <c r="A50" s="23">
        <v>35</v>
      </c>
      <c r="B50" s="23" t="s">
        <v>97</v>
      </c>
      <c r="C50" s="23" t="s">
        <v>63</v>
      </c>
      <c r="D50" s="23" t="s">
        <v>98</v>
      </c>
      <c r="E50" s="24" t="s">
        <v>29</v>
      </c>
      <c r="F50" s="21">
        <v>25000</v>
      </c>
      <c r="G50" s="22">
        <v>0</v>
      </c>
      <c r="H50" s="22">
        <v>25</v>
      </c>
      <c r="I50" s="22">
        <v>0</v>
      </c>
      <c r="J50" s="22">
        <f>300+300</f>
        <v>600</v>
      </c>
      <c r="K50" s="22">
        <f>F50*2.87%</f>
        <v>717.5</v>
      </c>
      <c r="L50" s="22">
        <f>F50*7.1%</f>
        <v>1774.9999999999998</v>
      </c>
      <c r="M50" s="22">
        <v>325</v>
      </c>
      <c r="N50" s="22">
        <v>760</v>
      </c>
      <c r="O50" s="22">
        <v>1772.5000000000002</v>
      </c>
      <c r="P50" s="22">
        <v>0</v>
      </c>
      <c r="Q50" s="21">
        <f>K50+N50</f>
        <v>1477.5</v>
      </c>
      <c r="R50" s="21">
        <f>G50+H50+I50+J50+K50+N50+P50</f>
        <v>2102.5</v>
      </c>
      <c r="S50" s="21">
        <f>L50+M50+O50</f>
        <v>3872.5</v>
      </c>
      <c r="T50" s="21">
        <f>F50-R50</f>
        <v>22897.5</v>
      </c>
      <c r="U50" s="24" t="s">
        <v>30</v>
      </c>
    </row>
    <row r="51" spans="1:21" ht="15.75" customHeight="1">
      <c r="A51" s="23">
        <v>36</v>
      </c>
      <c r="B51" s="23" t="s">
        <v>99</v>
      </c>
      <c r="C51" s="23" t="s">
        <v>63</v>
      </c>
      <c r="D51" s="23" t="s">
        <v>98</v>
      </c>
      <c r="E51" s="24" t="s">
        <v>29</v>
      </c>
      <c r="F51" s="21">
        <v>15000</v>
      </c>
      <c r="G51" s="22">
        <v>0</v>
      </c>
      <c r="H51" s="22">
        <v>25</v>
      </c>
      <c r="I51" s="22">
        <v>0</v>
      </c>
      <c r="J51" s="22">
        <v>0</v>
      </c>
      <c r="K51" s="22">
        <f>F51*2.87%</f>
        <v>430.5</v>
      </c>
      <c r="L51" s="22">
        <f>F51*7.1%</f>
        <v>1065</v>
      </c>
      <c r="M51" s="22">
        <v>195</v>
      </c>
      <c r="N51" s="22">
        <v>456</v>
      </c>
      <c r="O51" s="22">
        <v>1063.5</v>
      </c>
      <c r="P51" s="22">
        <v>0</v>
      </c>
      <c r="Q51" s="21">
        <f>K51+N51</f>
        <v>886.5</v>
      </c>
      <c r="R51" s="21">
        <f>G51+H51+I51+J51+K51+N51+P51</f>
        <v>911.5</v>
      </c>
      <c r="S51" s="21">
        <f>L51+M51+O51</f>
        <v>2323.5</v>
      </c>
      <c r="T51" s="21">
        <f>F51-R51</f>
        <v>14088.5</v>
      </c>
      <c r="U51" s="24" t="s">
        <v>30</v>
      </c>
    </row>
    <row r="52" spans="1:21" ht="15.75" customHeight="1">
      <c r="A52" s="19">
        <v>37</v>
      </c>
      <c r="B52" s="23" t="s">
        <v>100</v>
      </c>
      <c r="C52" s="23" t="s">
        <v>77</v>
      </c>
      <c r="D52" s="19" t="s">
        <v>78</v>
      </c>
      <c r="E52" s="24" t="s">
        <v>29</v>
      </c>
      <c r="F52" s="21">
        <v>10000</v>
      </c>
      <c r="G52" s="22">
        <v>0</v>
      </c>
      <c r="H52" s="22">
        <v>25</v>
      </c>
      <c r="I52" s="22">
        <v>0</v>
      </c>
      <c r="J52" s="22">
        <v>0</v>
      </c>
      <c r="K52" s="22">
        <f>F52*2.87%</f>
        <v>287</v>
      </c>
      <c r="L52" s="22">
        <f>F52*7.1%</f>
        <v>709.99999999999989</v>
      </c>
      <c r="M52" s="22">
        <v>130</v>
      </c>
      <c r="N52" s="22">
        <v>304</v>
      </c>
      <c r="O52" s="22">
        <v>709</v>
      </c>
      <c r="P52" s="22">
        <v>0</v>
      </c>
      <c r="Q52" s="21">
        <f>K52+N52</f>
        <v>591</v>
      </c>
      <c r="R52" s="21">
        <f>G52+H52+I52+J52+K52+N52+P52</f>
        <v>616</v>
      </c>
      <c r="S52" s="21">
        <f>L52+M52+O52</f>
        <v>1549</v>
      </c>
      <c r="T52" s="21">
        <f>F52-R52</f>
        <v>9384</v>
      </c>
      <c r="U52" s="24" t="s">
        <v>30</v>
      </c>
    </row>
    <row r="53" spans="1:21" ht="15.75" customHeight="1">
      <c r="A53" s="23">
        <v>38</v>
      </c>
      <c r="B53" s="23" t="s">
        <v>101</v>
      </c>
      <c r="C53" s="23" t="s">
        <v>66</v>
      </c>
      <c r="D53" s="19" t="s">
        <v>61</v>
      </c>
      <c r="E53" s="24" t="s">
        <v>29</v>
      </c>
      <c r="F53" s="21">
        <v>20000</v>
      </c>
      <c r="G53" s="22">
        <v>0</v>
      </c>
      <c r="H53" s="22">
        <v>25</v>
      </c>
      <c r="I53" s="22">
        <v>0</v>
      </c>
      <c r="J53" s="22">
        <f>300+300+1594.06</f>
        <v>2194.06</v>
      </c>
      <c r="K53" s="22">
        <f>F53*2.87%</f>
        <v>574</v>
      </c>
      <c r="L53" s="22">
        <f>F53*7.1%</f>
        <v>1419.9999999999998</v>
      </c>
      <c r="M53" s="22">
        <v>260</v>
      </c>
      <c r="N53" s="22">
        <v>608</v>
      </c>
      <c r="O53" s="22">
        <v>1418</v>
      </c>
      <c r="P53" s="22">
        <v>0</v>
      </c>
      <c r="Q53" s="21">
        <f>K53+N53</f>
        <v>1182</v>
      </c>
      <c r="R53" s="21">
        <f>G53+H53+I53+J53+K53+N53+P53</f>
        <v>3401.06</v>
      </c>
      <c r="S53" s="21">
        <f>L53+M53+O53</f>
        <v>3098</v>
      </c>
      <c r="T53" s="21">
        <f>F53-R53</f>
        <v>16598.939999999999</v>
      </c>
      <c r="U53" s="24" t="s">
        <v>30</v>
      </c>
    </row>
    <row r="54" spans="1:21" ht="15.75" customHeight="1">
      <c r="A54" s="23">
        <v>39</v>
      </c>
      <c r="B54" s="23" t="s">
        <v>102</v>
      </c>
      <c r="C54" s="23" t="s">
        <v>77</v>
      </c>
      <c r="D54" s="19" t="s">
        <v>78</v>
      </c>
      <c r="E54" s="24" t="s">
        <v>29</v>
      </c>
      <c r="F54" s="21">
        <v>10000</v>
      </c>
      <c r="G54" s="22">
        <v>0</v>
      </c>
      <c r="H54" s="22">
        <v>25</v>
      </c>
      <c r="I54" s="22">
        <v>0</v>
      </c>
      <c r="J54" s="22">
        <v>0</v>
      </c>
      <c r="K54" s="22">
        <f>F54*2.87%</f>
        <v>287</v>
      </c>
      <c r="L54" s="22">
        <f>F54*7.1%</f>
        <v>709.99999999999989</v>
      </c>
      <c r="M54" s="22">
        <v>130</v>
      </c>
      <c r="N54" s="22">
        <v>304</v>
      </c>
      <c r="O54" s="22">
        <v>709</v>
      </c>
      <c r="P54" s="22">
        <v>0</v>
      </c>
      <c r="Q54" s="21">
        <f>K54+N54</f>
        <v>591</v>
      </c>
      <c r="R54" s="21">
        <f>G54+H54+I54+J54+K54+N54+P54</f>
        <v>616</v>
      </c>
      <c r="S54" s="21">
        <f>L54+M54+O54</f>
        <v>1549</v>
      </c>
      <c r="T54" s="21">
        <f>F54-R54</f>
        <v>9384</v>
      </c>
      <c r="U54" s="24" t="s">
        <v>30</v>
      </c>
    </row>
    <row r="55" spans="1:21" ht="15.75" customHeight="1">
      <c r="A55" s="19">
        <v>40</v>
      </c>
      <c r="B55" s="23" t="s">
        <v>103</v>
      </c>
      <c r="C55" s="23" t="s">
        <v>68</v>
      </c>
      <c r="D55" s="19" t="s">
        <v>81</v>
      </c>
      <c r="E55" s="24" t="s">
        <v>29</v>
      </c>
      <c r="F55" s="21">
        <v>30000</v>
      </c>
      <c r="G55" s="22">
        <v>0</v>
      </c>
      <c r="H55" s="22">
        <v>25</v>
      </c>
      <c r="I55" s="22">
        <v>0</v>
      </c>
      <c r="J55" s="22">
        <f>1000+300+3285.82</f>
        <v>4585.82</v>
      </c>
      <c r="K55" s="22">
        <f>F55*2.87%</f>
        <v>861</v>
      </c>
      <c r="L55" s="22">
        <f>F55*7.1%</f>
        <v>2130</v>
      </c>
      <c r="M55" s="22">
        <v>390</v>
      </c>
      <c r="N55" s="22">
        <v>912</v>
      </c>
      <c r="O55" s="22">
        <v>2127</v>
      </c>
      <c r="P55" s="22">
        <v>0</v>
      </c>
      <c r="Q55" s="21">
        <f>K55+N55</f>
        <v>1773</v>
      </c>
      <c r="R55" s="21">
        <f>G55+H55+I55+J55+K55+N55+P55</f>
        <v>6383.82</v>
      </c>
      <c r="S55" s="21">
        <f>L55+M55+O55</f>
        <v>4647</v>
      </c>
      <c r="T55" s="21">
        <f>F55-R55</f>
        <v>23616.18</v>
      </c>
      <c r="U55" s="24" t="s">
        <v>36</v>
      </c>
    </row>
    <row r="56" spans="1:21" ht="15.75" customHeight="1">
      <c r="A56" s="23">
        <v>41</v>
      </c>
      <c r="B56" s="23" t="s">
        <v>104</v>
      </c>
      <c r="C56" s="23" t="s">
        <v>68</v>
      </c>
      <c r="D56" s="19" t="s">
        <v>86</v>
      </c>
      <c r="E56" s="24" t="s">
        <v>29</v>
      </c>
      <c r="F56" s="21">
        <v>20000</v>
      </c>
      <c r="G56" s="22">
        <v>0</v>
      </c>
      <c r="H56" s="22">
        <v>25</v>
      </c>
      <c r="I56" s="22">
        <v>0</v>
      </c>
      <c r="J56" s="22">
        <f>400+500+3590.66</f>
        <v>4490.66</v>
      </c>
      <c r="K56" s="22">
        <f>F56*2.87%</f>
        <v>574</v>
      </c>
      <c r="L56" s="22">
        <f>F56*7.1%</f>
        <v>1419.9999999999998</v>
      </c>
      <c r="M56" s="22">
        <v>260</v>
      </c>
      <c r="N56" s="22">
        <v>608</v>
      </c>
      <c r="O56" s="22">
        <v>1418</v>
      </c>
      <c r="P56" s="22">
        <v>0</v>
      </c>
      <c r="Q56" s="21">
        <f>K56+N56</f>
        <v>1182</v>
      </c>
      <c r="R56" s="21">
        <f>G56+H56+I56+J56+K56+N56+P56</f>
        <v>5697.66</v>
      </c>
      <c r="S56" s="21">
        <f>L56+M56+O56</f>
        <v>3098</v>
      </c>
      <c r="T56" s="21">
        <f>F56-R56</f>
        <v>14302.34</v>
      </c>
      <c r="U56" s="24" t="s">
        <v>36</v>
      </c>
    </row>
    <row r="57" spans="1:21" ht="15.75" customHeight="1">
      <c r="A57" s="23">
        <v>42</v>
      </c>
      <c r="B57" s="23" t="s">
        <v>106</v>
      </c>
      <c r="C57" s="23" t="s">
        <v>77</v>
      </c>
      <c r="D57" s="23" t="s">
        <v>61</v>
      </c>
      <c r="E57" s="24" t="s">
        <v>29</v>
      </c>
      <c r="F57" s="21">
        <v>15000</v>
      </c>
      <c r="G57" s="22">
        <v>0</v>
      </c>
      <c r="H57" s="22">
        <v>25</v>
      </c>
      <c r="I57" s="22">
        <v>0</v>
      </c>
      <c r="J57" s="22">
        <v>0</v>
      </c>
      <c r="K57" s="22">
        <f>F57*2.87%</f>
        <v>430.5</v>
      </c>
      <c r="L57" s="22">
        <f>F57*7.1%</f>
        <v>1065</v>
      </c>
      <c r="M57" s="22">
        <v>195</v>
      </c>
      <c r="N57" s="22">
        <v>456</v>
      </c>
      <c r="O57" s="22">
        <v>1063.5</v>
      </c>
      <c r="P57" s="22">
        <v>0</v>
      </c>
      <c r="Q57" s="21">
        <f>K57+N57</f>
        <v>886.5</v>
      </c>
      <c r="R57" s="21">
        <f>G57+H57+I57+J57+K57+N57+P57</f>
        <v>911.5</v>
      </c>
      <c r="S57" s="21">
        <f>L57+M57+O57</f>
        <v>2323.5</v>
      </c>
      <c r="T57" s="21">
        <f>F57-R57</f>
        <v>14088.5</v>
      </c>
      <c r="U57" s="24" t="s">
        <v>30</v>
      </c>
    </row>
    <row r="58" spans="1:21" ht="15.75" customHeight="1">
      <c r="A58" s="19">
        <v>43</v>
      </c>
      <c r="B58" s="23" t="s">
        <v>107</v>
      </c>
      <c r="C58" s="23" t="s">
        <v>68</v>
      </c>
      <c r="D58" s="23" t="s">
        <v>72</v>
      </c>
      <c r="E58" s="24" t="s">
        <v>29</v>
      </c>
      <c r="F58" s="21">
        <v>12000</v>
      </c>
      <c r="G58" s="22">
        <v>0</v>
      </c>
      <c r="H58" s="22">
        <v>25</v>
      </c>
      <c r="I58" s="22">
        <v>0</v>
      </c>
      <c r="J58" s="22">
        <v>0</v>
      </c>
      <c r="K58" s="22">
        <f>F58*2.87%</f>
        <v>344.4</v>
      </c>
      <c r="L58" s="22">
        <f>F58*7.1%</f>
        <v>851.99999999999989</v>
      </c>
      <c r="M58" s="22">
        <v>156</v>
      </c>
      <c r="N58" s="22">
        <v>364.8</v>
      </c>
      <c r="O58" s="22">
        <v>850.80000000000007</v>
      </c>
      <c r="P58" s="22">
        <v>0</v>
      </c>
      <c r="Q58" s="21">
        <f>K58+N58</f>
        <v>709.2</v>
      </c>
      <c r="R58" s="21">
        <f>G58+H58+I58+J58+K58+N58+P58</f>
        <v>734.2</v>
      </c>
      <c r="S58" s="21">
        <f>L58+M58+O58</f>
        <v>1858.8</v>
      </c>
      <c r="T58" s="21">
        <f>F58-R58</f>
        <v>11265.8</v>
      </c>
      <c r="U58" s="24" t="s">
        <v>36</v>
      </c>
    </row>
    <row r="59" spans="1:21" ht="15.75" customHeight="1">
      <c r="A59" s="23">
        <v>44</v>
      </c>
      <c r="B59" s="23" t="s">
        <v>108</v>
      </c>
      <c r="C59" s="23" t="s">
        <v>60</v>
      </c>
      <c r="D59" s="23" t="s">
        <v>61</v>
      </c>
      <c r="E59" s="24" t="s">
        <v>29</v>
      </c>
      <c r="F59" s="21">
        <v>25000</v>
      </c>
      <c r="G59" s="22">
        <v>0</v>
      </c>
      <c r="H59" s="22">
        <v>25</v>
      </c>
      <c r="I59" s="22">
        <v>0</v>
      </c>
      <c r="J59" s="22">
        <v>0</v>
      </c>
      <c r="K59" s="22">
        <f>F59*2.87%</f>
        <v>717.5</v>
      </c>
      <c r="L59" s="22">
        <f>F59*7.1%</f>
        <v>1774.9999999999998</v>
      </c>
      <c r="M59" s="22">
        <v>325</v>
      </c>
      <c r="N59" s="22">
        <v>760</v>
      </c>
      <c r="O59" s="22">
        <v>1772.5000000000002</v>
      </c>
      <c r="P59" s="22">
        <v>0</v>
      </c>
      <c r="Q59" s="21">
        <f>K59+N59</f>
        <v>1477.5</v>
      </c>
      <c r="R59" s="21">
        <f>G59+H59+I59+J59+K59+N59+P59</f>
        <v>1502.5</v>
      </c>
      <c r="S59" s="21">
        <f>L59+M59+O59</f>
        <v>3872.5</v>
      </c>
      <c r="T59" s="21">
        <f>F59-R59</f>
        <v>23497.5</v>
      </c>
      <c r="U59" s="24" t="s">
        <v>30</v>
      </c>
    </row>
    <row r="60" spans="1:21" ht="15.75" customHeight="1">
      <c r="A60" s="23">
        <v>45</v>
      </c>
      <c r="B60" s="23" t="s">
        <v>111</v>
      </c>
      <c r="C60" s="23" t="s">
        <v>48</v>
      </c>
      <c r="D60" s="19" t="s">
        <v>61</v>
      </c>
      <c r="E60" s="24" t="s">
        <v>29</v>
      </c>
      <c r="F60" s="21">
        <v>25000</v>
      </c>
      <c r="G60" s="22">
        <v>0</v>
      </c>
      <c r="H60" s="22">
        <v>25</v>
      </c>
      <c r="I60" s="22">
        <v>0</v>
      </c>
      <c r="J60" s="22">
        <v>0</v>
      </c>
      <c r="K60" s="22">
        <f>F60*2.87%</f>
        <v>717.5</v>
      </c>
      <c r="L60" s="22">
        <f>F60*7.1%</f>
        <v>1774.9999999999998</v>
      </c>
      <c r="M60" s="22">
        <v>325</v>
      </c>
      <c r="N60" s="22">
        <v>760</v>
      </c>
      <c r="O60" s="22">
        <v>1772.5000000000002</v>
      </c>
      <c r="P60" s="22">
        <v>0</v>
      </c>
      <c r="Q60" s="21">
        <f>K60+N60</f>
        <v>1477.5</v>
      </c>
      <c r="R60" s="21">
        <f>G60+H60+I60+J60+K60+N60+P60</f>
        <v>1502.5</v>
      </c>
      <c r="S60" s="21">
        <f>L60+M60+O60</f>
        <v>3872.5</v>
      </c>
      <c r="T60" s="21">
        <f>F60-R60</f>
        <v>23497.5</v>
      </c>
      <c r="U60" s="24" t="s">
        <v>36</v>
      </c>
    </row>
    <row r="61" spans="1:21" ht="15.75" customHeight="1">
      <c r="A61" s="19">
        <v>46</v>
      </c>
      <c r="B61" s="23" t="s">
        <v>112</v>
      </c>
      <c r="C61" s="23" t="s">
        <v>57</v>
      </c>
      <c r="D61" s="19" t="s">
        <v>58</v>
      </c>
      <c r="E61" s="24" t="s">
        <v>29</v>
      </c>
      <c r="F61" s="21">
        <v>10000</v>
      </c>
      <c r="G61" s="22">
        <v>0</v>
      </c>
      <c r="H61" s="22">
        <v>25</v>
      </c>
      <c r="I61" s="22">
        <v>0</v>
      </c>
      <c r="J61" s="22">
        <f>500+300</f>
        <v>800</v>
      </c>
      <c r="K61" s="22">
        <f>F61*2.87%</f>
        <v>287</v>
      </c>
      <c r="L61" s="22">
        <f>F61*7.1%</f>
        <v>709.99999999999989</v>
      </c>
      <c r="M61" s="22">
        <v>130</v>
      </c>
      <c r="N61" s="22">
        <v>304</v>
      </c>
      <c r="O61" s="22">
        <v>709</v>
      </c>
      <c r="P61" s="22">
        <v>0</v>
      </c>
      <c r="Q61" s="21">
        <f>K61+N61</f>
        <v>591</v>
      </c>
      <c r="R61" s="21">
        <f>G61+H61+I61+J61+K61+N61+P61</f>
        <v>1416</v>
      </c>
      <c r="S61" s="21">
        <f>L61+M61+O61</f>
        <v>1549</v>
      </c>
      <c r="T61" s="21">
        <f>F61-R61</f>
        <v>8584</v>
      </c>
      <c r="U61" s="24" t="s">
        <v>36</v>
      </c>
    </row>
    <row r="62" spans="1:21" ht="15.75" customHeight="1">
      <c r="A62" s="23">
        <v>47</v>
      </c>
      <c r="B62" s="23" t="s">
        <v>113</v>
      </c>
      <c r="C62" s="23" t="s">
        <v>77</v>
      </c>
      <c r="D62" s="19" t="s">
        <v>78</v>
      </c>
      <c r="E62" s="24" t="s">
        <v>29</v>
      </c>
      <c r="F62" s="21">
        <v>10000</v>
      </c>
      <c r="G62" s="22">
        <v>0</v>
      </c>
      <c r="H62" s="22">
        <v>25</v>
      </c>
      <c r="I62" s="22">
        <v>0</v>
      </c>
      <c r="J62" s="22">
        <v>0</v>
      </c>
      <c r="K62" s="22">
        <f>F62*2.87%</f>
        <v>287</v>
      </c>
      <c r="L62" s="22">
        <f>F62*7.1%</f>
        <v>709.99999999999989</v>
      </c>
      <c r="M62" s="22">
        <v>130</v>
      </c>
      <c r="N62" s="22">
        <v>304</v>
      </c>
      <c r="O62" s="22">
        <v>709</v>
      </c>
      <c r="P62" s="22">
        <v>1587.38</v>
      </c>
      <c r="Q62" s="21">
        <f>K62+N62</f>
        <v>591</v>
      </c>
      <c r="R62" s="21">
        <f>G62+H62+I62+J62+K62+N62+P62</f>
        <v>2203.38</v>
      </c>
      <c r="S62" s="21">
        <f>L62+M62+O62</f>
        <v>1549</v>
      </c>
      <c r="T62" s="21">
        <f>F62-R62</f>
        <v>7796.62</v>
      </c>
      <c r="U62" s="24" t="s">
        <v>36</v>
      </c>
    </row>
    <row r="63" spans="1:21" ht="15.75" customHeight="1">
      <c r="A63" s="23">
        <v>48</v>
      </c>
      <c r="B63" s="23" t="s">
        <v>114</v>
      </c>
      <c r="C63" s="23" t="s">
        <v>48</v>
      </c>
      <c r="D63" s="19" t="s">
        <v>58</v>
      </c>
      <c r="E63" s="24" t="s">
        <v>29</v>
      </c>
      <c r="F63" s="21">
        <v>21800</v>
      </c>
      <c r="G63" s="22">
        <v>0</v>
      </c>
      <c r="H63" s="22">
        <v>25</v>
      </c>
      <c r="I63" s="22">
        <v>0</v>
      </c>
      <c r="J63" s="22">
        <f>1500+300+3077.94</f>
        <v>4877.9400000000005</v>
      </c>
      <c r="K63" s="22">
        <f>F63*2.87%</f>
        <v>625.66</v>
      </c>
      <c r="L63" s="22">
        <f>F63*7.1%</f>
        <v>1547.8</v>
      </c>
      <c r="M63" s="22">
        <v>283.39999999999998</v>
      </c>
      <c r="N63" s="22">
        <v>662.72</v>
      </c>
      <c r="O63" s="22">
        <v>1545.6200000000001</v>
      </c>
      <c r="P63" s="22">
        <v>0</v>
      </c>
      <c r="Q63" s="21">
        <f>K63+N63</f>
        <v>1288.3800000000001</v>
      </c>
      <c r="R63" s="21">
        <f>G63+H63+I63+J63+K63+N63+P63</f>
        <v>6191.3200000000006</v>
      </c>
      <c r="S63" s="21">
        <f>L63+M63+O63</f>
        <v>3376.8199999999997</v>
      </c>
      <c r="T63" s="21">
        <f>F63-R63</f>
        <v>15608.68</v>
      </c>
      <c r="U63" s="24" t="s">
        <v>36</v>
      </c>
    </row>
    <row r="64" spans="1:21" ht="15.75" customHeight="1">
      <c r="A64" s="19">
        <v>49</v>
      </c>
      <c r="B64" s="23" t="s">
        <v>115</v>
      </c>
      <c r="C64" s="23" t="s">
        <v>71</v>
      </c>
      <c r="D64" s="19" t="s">
        <v>78</v>
      </c>
      <c r="E64" s="24" t="s">
        <v>29</v>
      </c>
      <c r="F64" s="21">
        <v>10000</v>
      </c>
      <c r="G64" s="22">
        <v>0</v>
      </c>
      <c r="H64" s="22">
        <v>25</v>
      </c>
      <c r="I64" s="22">
        <v>0</v>
      </c>
      <c r="J64" s="22">
        <v>0</v>
      </c>
      <c r="K64" s="22">
        <f>F64*2.87%</f>
        <v>287</v>
      </c>
      <c r="L64" s="22">
        <f>F64*7.1%</f>
        <v>709.99999999999989</v>
      </c>
      <c r="M64" s="22">
        <v>130</v>
      </c>
      <c r="N64" s="22">
        <v>304</v>
      </c>
      <c r="O64" s="22">
        <v>709</v>
      </c>
      <c r="P64" s="22">
        <v>0</v>
      </c>
      <c r="Q64" s="21">
        <f>K64+N64</f>
        <v>591</v>
      </c>
      <c r="R64" s="21">
        <f>G64+H64+I64+J64+K64+N64+P64</f>
        <v>616</v>
      </c>
      <c r="S64" s="21">
        <f>L64+M64+O64</f>
        <v>1549</v>
      </c>
      <c r="T64" s="21">
        <f>F64-R64</f>
        <v>9384</v>
      </c>
      <c r="U64" s="24" t="s">
        <v>36</v>
      </c>
    </row>
    <row r="65" spans="1:21" ht="15.75" customHeight="1">
      <c r="A65" s="23">
        <v>50</v>
      </c>
      <c r="B65" s="23" t="s">
        <v>116</v>
      </c>
      <c r="C65" s="23" t="s">
        <v>68</v>
      </c>
      <c r="D65" s="19" t="s">
        <v>55</v>
      </c>
      <c r="E65" s="24" t="s">
        <v>29</v>
      </c>
      <c r="F65" s="21">
        <v>14750</v>
      </c>
      <c r="G65" s="22">
        <v>0</v>
      </c>
      <c r="H65" s="22">
        <v>25</v>
      </c>
      <c r="I65" s="22">
        <v>0</v>
      </c>
      <c r="J65" s="22">
        <f>700+300+2548.2</f>
        <v>3548.2</v>
      </c>
      <c r="K65" s="22">
        <f>F65*2.87%</f>
        <v>423.32499999999999</v>
      </c>
      <c r="L65" s="22">
        <f>F65*7.1%</f>
        <v>1047.25</v>
      </c>
      <c r="M65" s="22">
        <v>191.75</v>
      </c>
      <c r="N65" s="22">
        <v>448.4</v>
      </c>
      <c r="O65" s="22">
        <v>1045.7750000000001</v>
      </c>
      <c r="P65" s="22">
        <v>786</v>
      </c>
      <c r="Q65" s="21">
        <f>K65+N65</f>
        <v>871.72499999999991</v>
      </c>
      <c r="R65" s="21">
        <f>G65+H65+I65+J65+K65+N65+P65</f>
        <v>5230.9249999999993</v>
      </c>
      <c r="S65" s="21">
        <f>L65+M65+O65</f>
        <v>2284.7750000000001</v>
      </c>
      <c r="T65" s="21">
        <f>F65-R65</f>
        <v>9519.0750000000007</v>
      </c>
      <c r="U65" s="24" t="s">
        <v>36</v>
      </c>
    </row>
    <row r="66" spans="1:21" ht="15.75" customHeight="1">
      <c r="A66" s="23">
        <v>51</v>
      </c>
      <c r="B66" s="23" t="s">
        <v>117</v>
      </c>
      <c r="C66" s="23" t="s">
        <v>51</v>
      </c>
      <c r="D66" s="23" t="s">
        <v>52</v>
      </c>
      <c r="E66" s="24" t="s">
        <v>29</v>
      </c>
      <c r="F66" s="21">
        <v>15000</v>
      </c>
      <c r="G66" s="22">
        <v>0</v>
      </c>
      <c r="H66" s="22">
        <v>25</v>
      </c>
      <c r="I66" s="22">
        <v>0</v>
      </c>
      <c r="J66" s="22">
        <f>300+300+2647.64</f>
        <v>3247.64</v>
      </c>
      <c r="K66" s="22">
        <f>F66*2.87%</f>
        <v>430.5</v>
      </c>
      <c r="L66" s="22">
        <f>F66*7.1%</f>
        <v>1065</v>
      </c>
      <c r="M66" s="22">
        <v>195</v>
      </c>
      <c r="N66" s="22">
        <v>456</v>
      </c>
      <c r="O66" s="22">
        <v>1063.5</v>
      </c>
      <c r="P66" s="22">
        <v>0</v>
      </c>
      <c r="Q66" s="21">
        <f>K66+N66</f>
        <v>886.5</v>
      </c>
      <c r="R66" s="21">
        <f>G66+H66+I66+J66+K66+N66+P66</f>
        <v>4159.1399999999994</v>
      </c>
      <c r="S66" s="21">
        <f>L66+M66+O66</f>
        <v>2323.5</v>
      </c>
      <c r="T66" s="21">
        <f>F66-R66</f>
        <v>10840.86</v>
      </c>
      <c r="U66" s="24" t="s">
        <v>36</v>
      </c>
    </row>
    <row r="67" spans="1:21" ht="15.75" customHeight="1">
      <c r="A67" s="19">
        <v>52</v>
      </c>
      <c r="B67" s="23" t="s">
        <v>118</v>
      </c>
      <c r="C67" s="23" t="s">
        <v>63</v>
      </c>
      <c r="D67" s="19" t="s">
        <v>78</v>
      </c>
      <c r="E67" s="24" t="s">
        <v>29</v>
      </c>
      <c r="F67" s="21">
        <v>15000</v>
      </c>
      <c r="G67" s="22">
        <v>0</v>
      </c>
      <c r="H67" s="22">
        <v>25</v>
      </c>
      <c r="I67" s="22">
        <v>0</v>
      </c>
      <c r="J67" s="22">
        <v>0</v>
      </c>
      <c r="K67" s="22">
        <f>F67*2.87%</f>
        <v>430.5</v>
      </c>
      <c r="L67" s="22">
        <f>F67*7.1%</f>
        <v>1065</v>
      </c>
      <c r="M67" s="22">
        <v>195</v>
      </c>
      <c r="N67" s="22">
        <v>456</v>
      </c>
      <c r="O67" s="22">
        <v>1063.5</v>
      </c>
      <c r="P67" s="22">
        <v>0</v>
      </c>
      <c r="Q67" s="21">
        <f>K67+N67</f>
        <v>886.5</v>
      </c>
      <c r="R67" s="21">
        <f>G67+H67+I67+J67+K67+N67+P67</f>
        <v>911.5</v>
      </c>
      <c r="S67" s="21">
        <f>L67+M67+O67</f>
        <v>2323.5</v>
      </c>
      <c r="T67" s="21">
        <f>F67-R67</f>
        <v>14088.5</v>
      </c>
      <c r="U67" s="24" t="s">
        <v>30</v>
      </c>
    </row>
    <row r="68" spans="1:21" ht="15.75" customHeight="1">
      <c r="A68" s="23">
        <v>53</v>
      </c>
      <c r="B68" s="23" t="s">
        <v>119</v>
      </c>
      <c r="C68" s="23" t="s">
        <v>77</v>
      </c>
      <c r="D68" s="19" t="s">
        <v>78</v>
      </c>
      <c r="E68" s="24" t="s">
        <v>29</v>
      </c>
      <c r="F68" s="21">
        <v>10000</v>
      </c>
      <c r="G68" s="22">
        <v>0</v>
      </c>
      <c r="H68" s="22">
        <v>25</v>
      </c>
      <c r="I68" s="22">
        <v>0</v>
      </c>
      <c r="J68" s="22">
        <v>0</v>
      </c>
      <c r="K68" s="22">
        <f>F68*2.87%</f>
        <v>287</v>
      </c>
      <c r="L68" s="22">
        <f>F68*7.1%</f>
        <v>709.99999999999989</v>
      </c>
      <c r="M68" s="22">
        <v>130</v>
      </c>
      <c r="N68" s="22">
        <v>304</v>
      </c>
      <c r="O68" s="22">
        <v>709</v>
      </c>
      <c r="P68" s="22">
        <v>0</v>
      </c>
      <c r="Q68" s="21">
        <f>K68+N68</f>
        <v>591</v>
      </c>
      <c r="R68" s="21">
        <f>G68+H68+I68+J68+K68+N68+P68</f>
        <v>616</v>
      </c>
      <c r="S68" s="21">
        <f>L68+M68+O68</f>
        <v>1549</v>
      </c>
      <c r="T68" s="21">
        <f>F68-R68</f>
        <v>9384</v>
      </c>
      <c r="U68" s="24" t="s">
        <v>30</v>
      </c>
    </row>
    <row r="69" spans="1:21" ht="15.75" customHeight="1">
      <c r="A69" s="23">
        <v>54</v>
      </c>
      <c r="B69" s="23" t="s">
        <v>120</v>
      </c>
      <c r="C69" s="23" t="s">
        <v>57</v>
      </c>
      <c r="D69" s="19" t="s">
        <v>58</v>
      </c>
      <c r="E69" s="24" t="s">
        <v>29</v>
      </c>
      <c r="F69" s="21">
        <v>10000</v>
      </c>
      <c r="G69" s="22">
        <v>0</v>
      </c>
      <c r="H69" s="22">
        <v>25</v>
      </c>
      <c r="I69" s="22">
        <v>0</v>
      </c>
      <c r="J69" s="22">
        <v>0</v>
      </c>
      <c r="K69" s="22">
        <f>F69*2.87%</f>
        <v>287</v>
      </c>
      <c r="L69" s="22">
        <f>F69*7.1%</f>
        <v>709.99999999999989</v>
      </c>
      <c r="M69" s="22">
        <v>130</v>
      </c>
      <c r="N69" s="22">
        <v>304</v>
      </c>
      <c r="O69" s="22">
        <v>709</v>
      </c>
      <c r="P69" s="22">
        <v>0</v>
      </c>
      <c r="Q69" s="21">
        <f>K69+N69</f>
        <v>591</v>
      </c>
      <c r="R69" s="21">
        <f>G69+H69+I69+J69+K69+N69+P69</f>
        <v>616</v>
      </c>
      <c r="S69" s="21">
        <f>L69+M69+O69</f>
        <v>1549</v>
      </c>
      <c r="T69" s="21">
        <f>F69-R69</f>
        <v>9384</v>
      </c>
      <c r="U69" s="24" t="s">
        <v>30</v>
      </c>
    </row>
    <row r="70" spans="1:21" ht="15.75" customHeight="1">
      <c r="A70" s="19">
        <v>55</v>
      </c>
      <c r="B70" s="23" t="s">
        <v>121</v>
      </c>
      <c r="C70" s="23" t="s">
        <v>77</v>
      </c>
      <c r="D70" s="19" t="s">
        <v>78</v>
      </c>
      <c r="E70" s="24" t="s">
        <v>29</v>
      </c>
      <c r="F70" s="21">
        <v>10000</v>
      </c>
      <c r="G70" s="22">
        <v>0</v>
      </c>
      <c r="H70" s="22">
        <v>25</v>
      </c>
      <c r="I70" s="22">
        <v>0</v>
      </c>
      <c r="J70" s="22">
        <v>0</v>
      </c>
      <c r="K70" s="22">
        <f>F70*2.87%</f>
        <v>287</v>
      </c>
      <c r="L70" s="22">
        <f>F70*7.1%</f>
        <v>709.99999999999989</v>
      </c>
      <c r="M70" s="22">
        <v>130</v>
      </c>
      <c r="N70" s="22">
        <v>304</v>
      </c>
      <c r="O70" s="22">
        <v>709</v>
      </c>
      <c r="P70" s="22">
        <v>0</v>
      </c>
      <c r="Q70" s="21">
        <f>K70+N70</f>
        <v>591</v>
      </c>
      <c r="R70" s="21">
        <f>G70+H70+I70+J70+K70+N70+P70</f>
        <v>616</v>
      </c>
      <c r="S70" s="21">
        <f>L70+M70+O70</f>
        <v>1549</v>
      </c>
      <c r="T70" s="21">
        <f>F70-R70</f>
        <v>9384</v>
      </c>
      <c r="U70" s="24" t="s">
        <v>30</v>
      </c>
    </row>
    <row r="71" spans="1:21" ht="15.75" customHeight="1">
      <c r="A71" s="23">
        <v>56</v>
      </c>
      <c r="B71" s="23" t="s">
        <v>123</v>
      </c>
      <c r="C71" s="23" t="s">
        <v>57</v>
      </c>
      <c r="D71" s="19" t="s">
        <v>58</v>
      </c>
      <c r="E71" s="24" t="s">
        <v>29</v>
      </c>
      <c r="F71" s="21">
        <v>15000</v>
      </c>
      <c r="G71" s="22">
        <v>0</v>
      </c>
      <c r="H71" s="22">
        <v>25</v>
      </c>
      <c r="I71" s="22">
        <v>0</v>
      </c>
      <c r="J71" s="22">
        <v>0</v>
      </c>
      <c r="K71" s="22">
        <f>F71*2.87%</f>
        <v>430.5</v>
      </c>
      <c r="L71" s="22">
        <f>F71*7.1%</f>
        <v>1065</v>
      </c>
      <c r="M71" s="22">
        <v>195</v>
      </c>
      <c r="N71" s="22">
        <v>456</v>
      </c>
      <c r="O71" s="22">
        <v>1063.5</v>
      </c>
      <c r="P71" s="22">
        <v>0</v>
      </c>
      <c r="Q71" s="21">
        <f>K71+N71</f>
        <v>886.5</v>
      </c>
      <c r="R71" s="21">
        <f>G71+H71+I71+J71+K71+N71+P71</f>
        <v>911.5</v>
      </c>
      <c r="S71" s="21">
        <f>L71+M71+O71</f>
        <v>2323.5</v>
      </c>
      <c r="T71" s="21">
        <f>F71-R71</f>
        <v>14088.5</v>
      </c>
      <c r="U71" s="24" t="s">
        <v>36</v>
      </c>
    </row>
    <row r="72" spans="1:21" ht="15.75" customHeight="1">
      <c r="A72" s="23">
        <v>57</v>
      </c>
      <c r="B72" s="23" t="s">
        <v>122</v>
      </c>
      <c r="C72" s="23" t="s">
        <v>57</v>
      </c>
      <c r="D72" s="19" t="s">
        <v>58</v>
      </c>
      <c r="E72" s="24" t="s">
        <v>29</v>
      </c>
      <c r="F72" s="21">
        <v>15000</v>
      </c>
      <c r="G72" s="22">
        <v>0</v>
      </c>
      <c r="H72" s="22">
        <v>25</v>
      </c>
      <c r="I72" s="22">
        <v>0</v>
      </c>
      <c r="J72" s="22">
        <v>0</v>
      </c>
      <c r="K72" s="22">
        <f>F72*2.87%</f>
        <v>430.5</v>
      </c>
      <c r="L72" s="22">
        <f>F72*7.1%</f>
        <v>1065</v>
      </c>
      <c r="M72" s="22">
        <v>195</v>
      </c>
      <c r="N72" s="22">
        <v>456</v>
      </c>
      <c r="O72" s="22">
        <v>1063.5</v>
      </c>
      <c r="P72" s="22">
        <v>0</v>
      </c>
      <c r="Q72" s="21">
        <f>K72+N72</f>
        <v>886.5</v>
      </c>
      <c r="R72" s="21">
        <f>G72+H72+I72+J72+K72+N72+P72</f>
        <v>911.5</v>
      </c>
      <c r="S72" s="21">
        <f>L72+M72+O72</f>
        <v>2323.5</v>
      </c>
      <c r="T72" s="21">
        <f>F72-R72</f>
        <v>14088.5</v>
      </c>
      <c r="U72" s="24" t="s">
        <v>36</v>
      </c>
    </row>
    <row r="73" spans="1:21" ht="15.75" customHeight="1">
      <c r="A73" s="19">
        <v>58</v>
      </c>
      <c r="B73" s="23" t="s">
        <v>124</v>
      </c>
      <c r="C73" s="23" t="s">
        <v>68</v>
      </c>
      <c r="D73" s="23" t="s">
        <v>72</v>
      </c>
      <c r="E73" s="24" t="s">
        <v>29</v>
      </c>
      <c r="F73" s="21">
        <v>18000</v>
      </c>
      <c r="G73" s="22">
        <v>0</v>
      </c>
      <c r="H73" s="22">
        <v>25</v>
      </c>
      <c r="I73" s="22">
        <v>0</v>
      </c>
      <c r="J73" s="22">
        <v>0</v>
      </c>
      <c r="K73" s="22">
        <f>F73*2.87%</f>
        <v>516.6</v>
      </c>
      <c r="L73" s="22">
        <f>F73*7.1%</f>
        <v>1277.9999999999998</v>
      </c>
      <c r="M73" s="22">
        <v>234</v>
      </c>
      <c r="N73" s="22">
        <v>547.20000000000005</v>
      </c>
      <c r="O73" s="22">
        <v>1276.2</v>
      </c>
      <c r="P73" s="22">
        <v>0</v>
      </c>
      <c r="Q73" s="21">
        <f>K73+N73</f>
        <v>1063.8000000000002</v>
      </c>
      <c r="R73" s="21">
        <f>G73+H73+I73+J73+K73+N73+P73</f>
        <v>1088.8000000000002</v>
      </c>
      <c r="S73" s="21">
        <f>L73+M73+O73</f>
        <v>2788.2</v>
      </c>
      <c r="T73" s="21">
        <f>F73-R73</f>
        <v>16911.2</v>
      </c>
      <c r="U73" s="24" t="s">
        <v>36</v>
      </c>
    </row>
    <row r="74" spans="1:21" ht="15.75" customHeight="1">
      <c r="A74" s="23">
        <v>59</v>
      </c>
      <c r="B74" s="23" t="s">
        <v>109</v>
      </c>
      <c r="C74" s="23" t="s">
        <v>48</v>
      </c>
      <c r="D74" s="23" t="s">
        <v>110</v>
      </c>
      <c r="E74" s="24" t="s">
        <v>29</v>
      </c>
      <c r="F74" s="21">
        <v>25000</v>
      </c>
      <c r="G74" s="22">
        <v>0</v>
      </c>
      <c r="H74" s="22">
        <v>25</v>
      </c>
      <c r="I74" s="22">
        <v>0</v>
      </c>
      <c r="J74" s="22">
        <v>0</v>
      </c>
      <c r="K74" s="22">
        <f>F74*2.87%</f>
        <v>717.5</v>
      </c>
      <c r="L74" s="22">
        <f>F74*7.1%</f>
        <v>1774.9999999999998</v>
      </c>
      <c r="M74" s="22">
        <v>325</v>
      </c>
      <c r="N74" s="22">
        <v>760</v>
      </c>
      <c r="O74" s="22">
        <v>1772.5000000000002</v>
      </c>
      <c r="P74" s="22">
        <v>0</v>
      </c>
      <c r="Q74" s="21">
        <f>K74+N74</f>
        <v>1477.5</v>
      </c>
      <c r="R74" s="21">
        <f>G74+H74+I74+J74+K74+N74+P74</f>
        <v>1502.5</v>
      </c>
      <c r="S74" s="21">
        <f>L74+M74+O74</f>
        <v>3872.5</v>
      </c>
      <c r="T74" s="21">
        <f>F74-R74</f>
        <v>23497.5</v>
      </c>
      <c r="U74" s="24" t="s">
        <v>36</v>
      </c>
    </row>
    <row r="75" spans="1:21" ht="15.75" customHeight="1">
      <c r="A75" s="23">
        <v>60</v>
      </c>
      <c r="B75" s="23" t="s">
        <v>125</v>
      </c>
      <c r="C75" s="23" t="s">
        <v>77</v>
      </c>
      <c r="D75" s="23" t="s">
        <v>78</v>
      </c>
      <c r="E75" s="24" t="s">
        <v>29</v>
      </c>
      <c r="F75" s="21">
        <v>10000</v>
      </c>
      <c r="G75" s="22">
        <v>0</v>
      </c>
      <c r="H75" s="22">
        <v>25</v>
      </c>
      <c r="I75" s="22">
        <v>0</v>
      </c>
      <c r="J75" s="22">
        <v>0</v>
      </c>
      <c r="K75" s="22">
        <f>F75*2.87%</f>
        <v>287</v>
      </c>
      <c r="L75" s="22">
        <f>F75*7.1%</f>
        <v>709.99999999999989</v>
      </c>
      <c r="M75" s="22">
        <v>130</v>
      </c>
      <c r="N75" s="22">
        <v>304</v>
      </c>
      <c r="O75" s="22">
        <v>709</v>
      </c>
      <c r="P75" s="22">
        <v>0</v>
      </c>
      <c r="Q75" s="21">
        <f>K75+N75</f>
        <v>591</v>
      </c>
      <c r="R75" s="21">
        <f>G75+H75+I75+J75+K75+N75+P75</f>
        <v>616</v>
      </c>
      <c r="S75" s="21">
        <f>L75+M75+O75</f>
        <v>1549</v>
      </c>
      <c r="T75" s="21">
        <f>F75-R75</f>
        <v>9384</v>
      </c>
      <c r="U75" s="24" t="s">
        <v>30</v>
      </c>
    </row>
    <row r="76" spans="1:21" ht="15.75" customHeight="1">
      <c r="A76" s="19">
        <v>61</v>
      </c>
      <c r="B76" s="23" t="s">
        <v>126</v>
      </c>
      <c r="C76" s="23" t="s">
        <v>57</v>
      </c>
      <c r="D76" s="23" t="s">
        <v>58</v>
      </c>
      <c r="E76" s="24" t="s">
        <v>29</v>
      </c>
      <c r="F76" s="21">
        <v>15000</v>
      </c>
      <c r="G76" s="22">
        <v>0</v>
      </c>
      <c r="H76" s="22">
        <v>25</v>
      </c>
      <c r="I76" s="22">
        <v>0</v>
      </c>
      <c r="J76" s="22">
        <v>0</v>
      </c>
      <c r="K76" s="22">
        <f>F76*2.87%</f>
        <v>430.5</v>
      </c>
      <c r="L76" s="22">
        <f>F76*7.1%</f>
        <v>1065</v>
      </c>
      <c r="M76" s="22">
        <v>195</v>
      </c>
      <c r="N76" s="22">
        <v>456</v>
      </c>
      <c r="O76" s="22">
        <v>1063.5</v>
      </c>
      <c r="P76" s="22">
        <v>0</v>
      </c>
      <c r="Q76" s="21">
        <f>K76+N76</f>
        <v>886.5</v>
      </c>
      <c r="R76" s="21">
        <f>G76+H76+I76+J76+K76+N76+P76</f>
        <v>911.5</v>
      </c>
      <c r="S76" s="21">
        <f>L76+M76+O76</f>
        <v>2323.5</v>
      </c>
      <c r="T76" s="21">
        <f>F76-R76</f>
        <v>14088.5</v>
      </c>
      <c r="U76" s="24" t="s">
        <v>30</v>
      </c>
    </row>
    <row r="77" spans="1:21" ht="15.75" customHeight="1">
      <c r="A77" s="23">
        <v>62</v>
      </c>
      <c r="B77" s="23" t="s">
        <v>127</v>
      </c>
      <c r="C77" s="23" t="s">
        <v>77</v>
      </c>
      <c r="D77" s="23" t="s">
        <v>61</v>
      </c>
      <c r="E77" s="24" t="s">
        <v>29</v>
      </c>
      <c r="F77" s="21">
        <v>15000</v>
      </c>
      <c r="G77" s="22">
        <v>0</v>
      </c>
      <c r="H77" s="22">
        <v>25</v>
      </c>
      <c r="I77" s="22">
        <v>0</v>
      </c>
      <c r="J77" s="22">
        <v>0</v>
      </c>
      <c r="K77" s="22">
        <f>F77*2.87%</f>
        <v>430.5</v>
      </c>
      <c r="L77" s="22">
        <f>F77*7.1%</f>
        <v>1065</v>
      </c>
      <c r="M77" s="22">
        <v>195</v>
      </c>
      <c r="N77" s="22">
        <v>456</v>
      </c>
      <c r="O77" s="22">
        <v>1063.5</v>
      </c>
      <c r="P77" s="22">
        <v>0</v>
      </c>
      <c r="Q77" s="21">
        <f>K77+N77</f>
        <v>886.5</v>
      </c>
      <c r="R77" s="21">
        <f>G77+H77+I77+J77+K77+N77+P77</f>
        <v>911.5</v>
      </c>
      <c r="S77" s="21">
        <f>L77+M77+O77</f>
        <v>2323.5</v>
      </c>
      <c r="T77" s="21">
        <f>F77-R77</f>
        <v>14088.5</v>
      </c>
      <c r="U77" s="24" t="s">
        <v>30</v>
      </c>
    </row>
    <row r="78" spans="1:21" ht="15.75" customHeight="1">
      <c r="A78" s="23">
        <v>63</v>
      </c>
      <c r="B78" s="23" t="s">
        <v>128</v>
      </c>
      <c r="C78" s="23" t="s">
        <v>96</v>
      </c>
      <c r="D78" s="23" t="s">
        <v>49</v>
      </c>
      <c r="E78" s="24" t="s">
        <v>29</v>
      </c>
      <c r="F78" s="21">
        <v>18000</v>
      </c>
      <c r="G78" s="22">
        <v>0</v>
      </c>
      <c r="H78" s="22">
        <v>25</v>
      </c>
      <c r="I78" s="22">
        <v>0</v>
      </c>
      <c r="J78" s="22">
        <f>700+300+7031.15</f>
        <v>8031.15</v>
      </c>
      <c r="K78" s="22">
        <f>F78*2.87%</f>
        <v>516.6</v>
      </c>
      <c r="L78" s="22">
        <f>F78*7.1%</f>
        <v>1277.9999999999998</v>
      </c>
      <c r="M78" s="22">
        <v>234</v>
      </c>
      <c r="N78" s="22">
        <v>547.20000000000005</v>
      </c>
      <c r="O78" s="22">
        <v>1276.2</v>
      </c>
      <c r="P78" s="22">
        <v>0</v>
      </c>
      <c r="Q78" s="21">
        <f>K78+N78</f>
        <v>1063.8000000000002</v>
      </c>
      <c r="R78" s="21">
        <f>G78+H78+I78+J78+K78+N78+P78</f>
        <v>9119.9500000000007</v>
      </c>
      <c r="S78" s="21">
        <f>L78+M78+O78</f>
        <v>2788.2</v>
      </c>
      <c r="T78" s="21">
        <f>F78-R78</f>
        <v>8880.0499999999993</v>
      </c>
      <c r="U78" s="24" t="s">
        <v>30</v>
      </c>
    </row>
    <row r="79" spans="1:21" ht="15.75" customHeight="1">
      <c r="A79" s="19">
        <v>64</v>
      </c>
      <c r="B79" s="23" t="s">
        <v>129</v>
      </c>
      <c r="C79" s="23" t="s">
        <v>60</v>
      </c>
      <c r="D79" s="19" t="s">
        <v>61</v>
      </c>
      <c r="E79" s="24" t="s">
        <v>29</v>
      </c>
      <c r="F79" s="21">
        <v>35000</v>
      </c>
      <c r="G79" s="22">
        <v>0</v>
      </c>
      <c r="H79" s="22">
        <v>25</v>
      </c>
      <c r="I79" s="22">
        <v>0</v>
      </c>
      <c r="J79" s="22">
        <v>0</v>
      </c>
      <c r="K79" s="22">
        <f>F79*2.87%</f>
        <v>1004.5</v>
      </c>
      <c r="L79" s="22">
        <f>F79*7.1%</f>
        <v>2485</v>
      </c>
      <c r="M79" s="22">
        <v>455</v>
      </c>
      <c r="N79" s="22">
        <v>1064</v>
      </c>
      <c r="O79" s="22">
        <v>2481.5</v>
      </c>
      <c r="P79" s="22">
        <v>0</v>
      </c>
      <c r="Q79" s="21">
        <f>K79+N79</f>
        <v>2068.5</v>
      </c>
      <c r="R79" s="21">
        <f>G79+H79+I79+J79+K79+N79+P79</f>
        <v>2093.5</v>
      </c>
      <c r="S79" s="21">
        <f>L79+M79+O79</f>
        <v>5421.5</v>
      </c>
      <c r="T79" s="21">
        <f>F79-R79</f>
        <v>32906.5</v>
      </c>
      <c r="U79" s="24" t="s">
        <v>30</v>
      </c>
    </row>
    <row r="80" spans="1:21" ht="15.75" customHeight="1">
      <c r="A80" s="23">
        <v>65</v>
      </c>
      <c r="B80" s="23" t="s">
        <v>130</v>
      </c>
      <c r="C80" s="23" t="s">
        <v>77</v>
      </c>
      <c r="D80" s="19" t="s">
        <v>78</v>
      </c>
      <c r="E80" s="24" t="s">
        <v>29</v>
      </c>
      <c r="F80" s="21">
        <v>10000</v>
      </c>
      <c r="G80" s="22">
        <v>0</v>
      </c>
      <c r="H80" s="22">
        <v>25</v>
      </c>
      <c r="I80" s="22">
        <v>0</v>
      </c>
      <c r="J80" s="22">
        <v>0</v>
      </c>
      <c r="K80" s="22">
        <f>F80*2.87%</f>
        <v>287</v>
      </c>
      <c r="L80" s="22">
        <f>F80*7.1%</f>
        <v>709.99999999999989</v>
      </c>
      <c r="M80" s="22">
        <v>130</v>
      </c>
      <c r="N80" s="22">
        <v>304</v>
      </c>
      <c r="O80" s="22">
        <v>709</v>
      </c>
      <c r="P80" s="22">
        <v>0</v>
      </c>
      <c r="Q80" s="21">
        <f>K80+N80</f>
        <v>591</v>
      </c>
      <c r="R80" s="21">
        <f>G80+H80+I80+J80+K80+N80+P80</f>
        <v>616</v>
      </c>
      <c r="S80" s="21">
        <f>L80+M80+O80</f>
        <v>1549</v>
      </c>
      <c r="T80" s="21">
        <f>F80-R80</f>
        <v>9384</v>
      </c>
      <c r="U80" s="24" t="s">
        <v>30</v>
      </c>
    </row>
    <row r="81" spans="1:21" ht="15.75" customHeight="1">
      <c r="A81" s="23">
        <v>66</v>
      </c>
      <c r="B81" s="23" t="s">
        <v>131</v>
      </c>
      <c r="C81" s="23" t="s">
        <v>77</v>
      </c>
      <c r="D81" s="19" t="s">
        <v>58</v>
      </c>
      <c r="E81" s="24" t="s">
        <v>29</v>
      </c>
      <c r="F81" s="21">
        <v>15000</v>
      </c>
      <c r="G81" s="22">
        <v>0</v>
      </c>
      <c r="H81" s="22">
        <v>25</v>
      </c>
      <c r="I81" s="22">
        <v>0</v>
      </c>
      <c r="J81" s="22">
        <v>0</v>
      </c>
      <c r="K81" s="22">
        <f>F81*2.87%</f>
        <v>430.5</v>
      </c>
      <c r="L81" s="22">
        <f>F81*7.1%</f>
        <v>1065</v>
      </c>
      <c r="M81" s="22">
        <v>195</v>
      </c>
      <c r="N81" s="22">
        <v>456</v>
      </c>
      <c r="O81" s="22">
        <v>1063.5</v>
      </c>
      <c r="P81" s="22">
        <v>0</v>
      </c>
      <c r="Q81" s="21">
        <f>K81+N81</f>
        <v>886.5</v>
      </c>
      <c r="R81" s="21">
        <f>G81+H81+I81+J81+K81+N81+P81</f>
        <v>911.5</v>
      </c>
      <c r="S81" s="21">
        <f>L81+M81+O81</f>
        <v>2323.5</v>
      </c>
      <c r="T81" s="21">
        <f>F81-R81</f>
        <v>14088.5</v>
      </c>
      <c r="U81" s="24" t="s">
        <v>30</v>
      </c>
    </row>
    <row r="82" spans="1:21" ht="15.75" customHeight="1">
      <c r="A82" s="19">
        <v>67</v>
      </c>
      <c r="B82" s="23" t="s">
        <v>132</v>
      </c>
      <c r="C82" s="23" t="s">
        <v>77</v>
      </c>
      <c r="D82" s="19" t="s">
        <v>61</v>
      </c>
      <c r="E82" s="24" t="s">
        <v>29</v>
      </c>
      <c r="F82" s="21">
        <v>10000</v>
      </c>
      <c r="G82" s="22">
        <v>0</v>
      </c>
      <c r="H82" s="22">
        <v>25</v>
      </c>
      <c r="I82" s="22">
        <v>0</v>
      </c>
      <c r="J82" s="22">
        <v>0</v>
      </c>
      <c r="K82" s="22">
        <f>F82*2.87%</f>
        <v>287</v>
      </c>
      <c r="L82" s="22">
        <f>F82*7.1%</f>
        <v>709.99999999999989</v>
      </c>
      <c r="M82" s="22">
        <v>130</v>
      </c>
      <c r="N82" s="22">
        <v>304</v>
      </c>
      <c r="O82" s="22">
        <v>709</v>
      </c>
      <c r="P82" s="22">
        <v>0</v>
      </c>
      <c r="Q82" s="21">
        <f>K82+N82</f>
        <v>591</v>
      </c>
      <c r="R82" s="21">
        <f>G82+H82+I82+J82+K82+N82+P82</f>
        <v>616</v>
      </c>
      <c r="S82" s="21">
        <f>L82+M82+O82</f>
        <v>1549</v>
      </c>
      <c r="T82" s="21">
        <f>F82-R82</f>
        <v>9384</v>
      </c>
      <c r="U82" s="24" t="s">
        <v>36</v>
      </c>
    </row>
    <row r="83" spans="1:21" ht="15.75" customHeight="1">
      <c r="A83" s="23">
        <v>68</v>
      </c>
      <c r="B83" s="23" t="s">
        <v>133</v>
      </c>
      <c r="C83" s="23" t="s">
        <v>48</v>
      </c>
      <c r="D83" s="19" t="s">
        <v>98</v>
      </c>
      <c r="E83" s="24" t="s">
        <v>29</v>
      </c>
      <c r="F83" s="21">
        <v>20000</v>
      </c>
      <c r="G83" s="22">
        <v>0</v>
      </c>
      <c r="H83" s="22">
        <v>25</v>
      </c>
      <c r="I83" s="22">
        <v>0</v>
      </c>
      <c r="J83" s="22">
        <v>0</v>
      </c>
      <c r="K83" s="22">
        <f>F83*2.87%</f>
        <v>574</v>
      </c>
      <c r="L83" s="22">
        <f>F83*7.1%</f>
        <v>1419.9999999999998</v>
      </c>
      <c r="M83" s="22">
        <v>260</v>
      </c>
      <c r="N83" s="22">
        <v>608</v>
      </c>
      <c r="O83" s="22">
        <v>1418</v>
      </c>
      <c r="P83" s="22">
        <v>0</v>
      </c>
      <c r="Q83" s="21">
        <f>K83+N83</f>
        <v>1182</v>
      </c>
      <c r="R83" s="21">
        <f>G83+H83+I83+J83+K83+N83+P83</f>
        <v>1207</v>
      </c>
      <c r="S83" s="21">
        <f>L83+M83+O83</f>
        <v>3098</v>
      </c>
      <c r="T83" s="21">
        <f>F83-R83</f>
        <v>18793</v>
      </c>
      <c r="U83" s="24" t="s">
        <v>36</v>
      </c>
    </row>
    <row r="84" spans="1:21" ht="15.75" customHeight="1">
      <c r="A84" s="23">
        <v>69</v>
      </c>
      <c r="B84" s="23" t="s">
        <v>134</v>
      </c>
      <c r="C84" s="23" t="s">
        <v>135</v>
      </c>
      <c r="D84" s="19" t="s">
        <v>61</v>
      </c>
      <c r="E84" s="24" t="s">
        <v>29</v>
      </c>
      <c r="F84" s="21">
        <v>30000</v>
      </c>
      <c r="G84" s="22">
        <v>0</v>
      </c>
      <c r="H84" s="22">
        <v>25</v>
      </c>
      <c r="I84" s="22">
        <v>0</v>
      </c>
      <c r="J84" s="22">
        <v>0</v>
      </c>
      <c r="K84" s="22">
        <f>F84*2.87%</f>
        <v>861</v>
      </c>
      <c r="L84" s="22">
        <f>F84*7.1%</f>
        <v>2130</v>
      </c>
      <c r="M84" s="22">
        <v>390</v>
      </c>
      <c r="N84" s="22">
        <v>912</v>
      </c>
      <c r="O84" s="22">
        <v>2127</v>
      </c>
      <c r="P84" s="22">
        <v>0</v>
      </c>
      <c r="Q84" s="21">
        <f>K84+N84</f>
        <v>1773</v>
      </c>
      <c r="R84" s="21">
        <f>G84+H84+I84+J84+K84+N84+P84</f>
        <v>1798</v>
      </c>
      <c r="S84" s="21">
        <f>L84+M84+O84</f>
        <v>4647</v>
      </c>
      <c r="T84" s="21">
        <f>F84-R84</f>
        <v>28202</v>
      </c>
      <c r="U84" s="24" t="s">
        <v>36</v>
      </c>
    </row>
    <row r="85" spans="1:21" ht="15.75" customHeight="1">
      <c r="A85" s="19">
        <v>70</v>
      </c>
      <c r="B85" s="23" t="s">
        <v>136</v>
      </c>
      <c r="C85" s="23" t="s">
        <v>63</v>
      </c>
      <c r="D85" s="19" t="s">
        <v>98</v>
      </c>
      <c r="E85" s="24" t="s">
        <v>29</v>
      </c>
      <c r="F85" s="21">
        <v>20000</v>
      </c>
      <c r="G85" s="22">
        <v>0</v>
      </c>
      <c r="H85" s="22">
        <v>25</v>
      </c>
      <c r="I85" s="22">
        <v>0</v>
      </c>
      <c r="J85" s="22">
        <f>300+300+2128.19</f>
        <v>2728.19</v>
      </c>
      <c r="K85" s="22">
        <f>F85*2.87%</f>
        <v>574</v>
      </c>
      <c r="L85" s="22">
        <f>F85*7.1%</f>
        <v>1419.9999999999998</v>
      </c>
      <c r="M85" s="22">
        <v>260</v>
      </c>
      <c r="N85" s="22">
        <v>608</v>
      </c>
      <c r="O85" s="22">
        <v>1418</v>
      </c>
      <c r="P85" s="22">
        <v>0</v>
      </c>
      <c r="Q85" s="21">
        <f>K85+N85</f>
        <v>1182</v>
      </c>
      <c r="R85" s="21">
        <f>G85+H85+I85+J85+K85+N85+P85</f>
        <v>3935.19</v>
      </c>
      <c r="S85" s="21">
        <f>L85+M85+O85</f>
        <v>3098</v>
      </c>
      <c r="T85" s="21">
        <f>F85-R85</f>
        <v>16064.81</v>
      </c>
      <c r="U85" s="24" t="s">
        <v>30</v>
      </c>
    </row>
    <row r="86" spans="1:21" ht="15.75" customHeight="1">
      <c r="A86" s="23">
        <v>71</v>
      </c>
      <c r="B86" s="23" t="s">
        <v>137</v>
      </c>
      <c r="C86" s="23" t="s">
        <v>68</v>
      </c>
      <c r="D86" s="19" t="s">
        <v>138</v>
      </c>
      <c r="E86" s="24" t="s">
        <v>29</v>
      </c>
      <c r="F86" s="21">
        <v>18000</v>
      </c>
      <c r="G86" s="22">
        <v>0</v>
      </c>
      <c r="H86" s="22">
        <v>25</v>
      </c>
      <c r="I86" s="22">
        <v>0</v>
      </c>
      <c r="J86" s="22">
        <v>0</v>
      </c>
      <c r="K86" s="22">
        <f>F86*2.87%</f>
        <v>516.6</v>
      </c>
      <c r="L86" s="22">
        <f>F86*7.1%</f>
        <v>1277.9999999999998</v>
      </c>
      <c r="M86" s="22">
        <v>234</v>
      </c>
      <c r="N86" s="22">
        <v>547.20000000000005</v>
      </c>
      <c r="O86" s="22">
        <v>1276.2</v>
      </c>
      <c r="P86" s="22">
        <v>0</v>
      </c>
      <c r="Q86" s="21">
        <f>K86+N86</f>
        <v>1063.8000000000002</v>
      </c>
      <c r="R86" s="21">
        <f>G86+H86+I86+J86+K86+N86+P86</f>
        <v>1088.8000000000002</v>
      </c>
      <c r="S86" s="21">
        <f>L86+M86+O86</f>
        <v>2788.2</v>
      </c>
      <c r="T86" s="21">
        <f>F86-R86</f>
        <v>16911.2</v>
      </c>
      <c r="U86" s="24" t="s">
        <v>36</v>
      </c>
    </row>
    <row r="87" spans="1:21" ht="15.75" customHeight="1">
      <c r="A87" s="23">
        <v>72</v>
      </c>
      <c r="B87" s="23" t="s">
        <v>139</v>
      </c>
      <c r="C87" s="23" t="s">
        <v>48</v>
      </c>
      <c r="D87" s="19" t="s">
        <v>52</v>
      </c>
      <c r="E87" s="24" t="s">
        <v>29</v>
      </c>
      <c r="F87" s="21">
        <v>20000</v>
      </c>
      <c r="G87" s="22">
        <v>0</v>
      </c>
      <c r="H87" s="22">
        <v>25</v>
      </c>
      <c r="I87" s="22">
        <v>0</v>
      </c>
      <c r="J87" s="22">
        <v>0</v>
      </c>
      <c r="K87" s="22">
        <f>F87*2.87%</f>
        <v>574</v>
      </c>
      <c r="L87" s="22">
        <f>F87*7.1%</f>
        <v>1419.9999999999998</v>
      </c>
      <c r="M87" s="22">
        <v>260</v>
      </c>
      <c r="N87" s="22">
        <v>608</v>
      </c>
      <c r="O87" s="22">
        <v>1418</v>
      </c>
      <c r="P87" s="22">
        <v>0</v>
      </c>
      <c r="Q87" s="21">
        <f>K87+N87</f>
        <v>1182</v>
      </c>
      <c r="R87" s="21">
        <f>G87+H87+I87+J87+K87+N87+P87</f>
        <v>1207</v>
      </c>
      <c r="S87" s="21">
        <f>L87+M87+O87</f>
        <v>3098</v>
      </c>
      <c r="T87" s="21">
        <f>F87-R87</f>
        <v>18793</v>
      </c>
      <c r="U87" s="24" t="s">
        <v>36</v>
      </c>
    </row>
    <row r="88" spans="1:21" ht="15.75" customHeight="1">
      <c r="A88" s="19">
        <v>73</v>
      </c>
      <c r="B88" s="23" t="s">
        <v>140</v>
      </c>
      <c r="C88" s="23" t="s">
        <v>141</v>
      </c>
      <c r="D88" s="19" t="s">
        <v>58</v>
      </c>
      <c r="E88" s="24" t="s">
        <v>29</v>
      </c>
      <c r="F88" s="21">
        <v>15000</v>
      </c>
      <c r="G88" s="22">
        <v>0</v>
      </c>
      <c r="H88" s="22">
        <v>25</v>
      </c>
      <c r="I88" s="22">
        <v>0</v>
      </c>
      <c r="J88" s="22">
        <v>0</v>
      </c>
      <c r="K88" s="22">
        <f>F88*2.87%</f>
        <v>430.5</v>
      </c>
      <c r="L88" s="22">
        <f>F88*7.1%</f>
        <v>1065</v>
      </c>
      <c r="M88" s="22">
        <v>195</v>
      </c>
      <c r="N88" s="22">
        <v>456</v>
      </c>
      <c r="O88" s="22">
        <v>1063.5</v>
      </c>
      <c r="P88" s="22">
        <v>0</v>
      </c>
      <c r="Q88" s="21">
        <f>K88+N88</f>
        <v>886.5</v>
      </c>
      <c r="R88" s="21">
        <f>G88+H88+I88+J88+K88+N88+P88</f>
        <v>911.5</v>
      </c>
      <c r="S88" s="21">
        <f>L88+M88+O88</f>
        <v>2323.5</v>
      </c>
      <c r="T88" s="21">
        <f>F88-R88</f>
        <v>14088.5</v>
      </c>
      <c r="U88" s="24" t="s">
        <v>30</v>
      </c>
    </row>
    <row r="89" spans="1:21" ht="15.75" customHeight="1">
      <c r="A89" s="23">
        <v>74</v>
      </c>
      <c r="B89" s="23" t="s">
        <v>142</v>
      </c>
      <c r="C89" s="23" t="s">
        <v>57</v>
      </c>
      <c r="D89" s="19" t="s">
        <v>58</v>
      </c>
      <c r="E89" s="24" t="s">
        <v>29</v>
      </c>
      <c r="F89" s="21">
        <v>15000</v>
      </c>
      <c r="G89" s="22">
        <v>0</v>
      </c>
      <c r="H89" s="22">
        <v>25</v>
      </c>
      <c r="I89" s="22">
        <v>0</v>
      </c>
      <c r="J89" s="22">
        <v>0</v>
      </c>
      <c r="K89" s="22">
        <f>F89*2.87%</f>
        <v>430.5</v>
      </c>
      <c r="L89" s="22">
        <f>F89*7.1%</f>
        <v>1065</v>
      </c>
      <c r="M89" s="22">
        <v>195</v>
      </c>
      <c r="N89" s="22">
        <v>456</v>
      </c>
      <c r="O89" s="22">
        <v>1063.5</v>
      </c>
      <c r="P89" s="22">
        <v>0</v>
      </c>
      <c r="Q89" s="21">
        <f>K89+N89</f>
        <v>886.5</v>
      </c>
      <c r="R89" s="21">
        <f>G89+H89+I89+J89+K89+N89+P89</f>
        <v>911.5</v>
      </c>
      <c r="S89" s="21">
        <f>L89+M89+O89</f>
        <v>2323.5</v>
      </c>
      <c r="T89" s="21">
        <f>F89-R89</f>
        <v>14088.5</v>
      </c>
      <c r="U89" s="24" t="s">
        <v>36</v>
      </c>
    </row>
    <row r="90" spans="1:21" ht="15.75" customHeight="1">
      <c r="A90" s="23">
        <v>75</v>
      </c>
      <c r="B90" s="23" t="s">
        <v>143</v>
      </c>
      <c r="C90" s="23" t="s">
        <v>77</v>
      </c>
      <c r="D90" s="19" t="s">
        <v>78</v>
      </c>
      <c r="E90" s="24" t="s">
        <v>29</v>
      </c>
      <c r="F90" s="21">
        <v>10000</v>
      </c>
      <c r="G90" s="22">
        <v>0</v>
      </c>
      <c r="H90" s="22">
        <v>25</v>
      </c>
      <c r="I90" s="22">
        <v>0</v>
      </c>
      <c r="J90" s="22">
        <v>0</v>
      </c>
      <c r="K90" s="22">
        <f>F90*2.87%</f>
        <v>287</v>
      </c>
      <c r="L90" s="22">
        <f>F90*7.1%</f>
        <v>709.99999999999989</v>
      </c>
      <c r="M90" s="22">
        <v>130</v>
      </c>
      <c r="N90" s="22">
        <v>304</v>
      </c>
      <c r="O90" s="22">
        <v>709</v>
      </c>
      <c r="P90" s="22">
        <v>0</v>
      </c>
      <c r="Q90" s="21">
        <f>K90+N90</f>
        <v>591</v>
      </c>
      <c r="R90" s="21">
        <f>G90+H90+I90+J90+K90+N90+P90</f>
        <v>616</v>
      </c>
      <c r="S90" s="21">
        <f>L90+M90+O90</f>
        <v>1549</v>
      </c>
      <c r="T90" s="21">
        <f>F90-R90</f>
        <v>9384</v>
      </c>
      <c r="U90" s="24" t="s">
        <v>30</v>
      </c>
    </row>
    <row r="91" spans="1:21" ht="15.75" customHeight="1">
      <c r="A91" s="19">
        <v>76</v>
      </c>
      <c r="B91" s="23" t="s">
        <v>144</v>
      </c>
      <c r="C91" s="23" t="s">
        <v>71</v>
      </c>
      <c r="D91" s="19" t="s">
        <v>72</v>
      </c>
      <c r="E91" s="24" t="s">
        <v>29</v>
      </c>
      <c r="F91" s="21">
        <v>10000</v>
      </c>
      <c r="G91" s="22">
        <v>0</v>
      </c>
      <c r="H91" s="22">
        <v>25</v>
      </c>
      <c r="I91" s="22">
        <v>0</v>
      </c>
      <c r="J91" s="22">
        <v>0</v>
      </c>
      <c r="K91" s="22">
        <f>F91*2.87%</f>
        <v>287</v>
      </c>
      <c r="L91" s="22">
        <f>F91*7.1%</f>
        <v>709.99999999999989</v>
      </c>
      <c r="M91" s="22">
        <v>130</v>
      </c>
      <c r="N91" s="22">
        <v>304</v>
      </c>
      <c r="O91" s="22">
        <v>709</v>
      </c>
      <c r="P91" s="22">
        <v>0</v>
      </c>
      <c r="Q91" s="21">
        <f>K91+N91</f>
        <v>591</v>
      </c>
      <c r="R91" s="21">
        <f>G91+H91+I91+J91+K91+N91+P91</f>
        <v>616</v>
      </c>
      <c r="S91" s="21">
        <f>L91+M91+O91</f>
        <v>1549</v>
      </c>
      <c r="T91" s="21">
        <f>F91-R91</f>
        <v>9384</v>
      </c>
      <c r="U91" s="24" t="s">
        <v>36</v>
      </c>
    </row>
    <row r="92" spans="1:21" ht="15.75" customHeight="1">
      <c r="A92" s="23">
        <v>77</v>
      </c>
      <c r="B92" s="23" t="s">
        <v>145</v>
      </c>
      <c r="C92" s="23" t="s">
        <v>146</v>
      </c>
      <c r="D92" s="19" t="s">
        <v>49</v>
      </c>
      <c r="E92" s="24" t="s">
        <v>29</v>
      </c>
      <c r="F92" s="21">
        <v>13000</v>
      </c>
      <c r="G92" s="22">
        <v>0</v>
      </c>
      <c r="H92" s="22">
        <v>25</v>
      </c>
      <c r="I92" s="22">
        <v>0</v>
      </c>
      <c r="J92" s="22">
        <f>1000+300</f>
        <v>1300</v>
      </c>
      <c r="K92" s="22">
        <f>F92*2.87%</f>
        <v>373.1</v>
      </c>
      <c r="L92" s="22">
        <f>F92*7.1%</f>
        <v>922.99999999999989</v>
      </c>
      <c r="M92" s="22">
        <v>169</v>
      </c>
      <c r="N92" s="22">
        <v>395.2</v>
      </c>
      <c r="O92" s="22">
        <v>921.7</v>
      </c>
      <c r="P92" s="22">
        <v>0</v>
      </c>
      <c r="Q92" s="21">
        <f>K92+N92</f>
        <v>768.3</v>
      </c>
      <c r="R92" s="21">
        <f>G92+H92+I92+J92+K92+N92+P92</f>
        <v>2093.2999999999997</v>
      </c>
      <c r="S92" s="21">
        <f>L92+M92+O92</f>
        <v>2013.7</v>
      </c>
      <c r="T92" s="21">
        <f>F92-R92</f>
        <v>10906.7</v>
      </c>
      <c r="U92" s="24" t="s">
        <v>36</v>
      </c>
    </row>
    <row r="93" spans="1:21" ht="15.75" customHeight="1">
      <c r="A93" s="23">
        <v>78</v>
      </c>
      <c r="B93" s="23" t="s">
        <v>147</v>
      </c>
      <c r="C93" s="23" t="s">
        <v>63</v>
      </c>
      <c r="D93" s="19" t="s">
        <v>98</v>
      </c>
      <c r="E93" s="24" t="s">
        <v>29</v>
      </c>
      <c r="F93" s="21">
        <v>20000</v>
      </c>
      <c r="G93" s="22">
        <v>0</v>
      </c>
      <c r="H93" s="22">
        <v>25</v>
      </c>
      <c r="I93" s="22">
        <v>0</v>
      </c>
      <c r="J93" s="22">
        <v>0</v>
      </c>
      <c r="K93" s="22">
        <f>F93*2.87%</f>
        <v>574</v>
      </c>
      <c r="L93" s="22">
        <f>F93*7.1%</f>
        <v>1419.9999999999998</v>
      </c>
      <c r="M93" s="22">
        <v>260</v>
      </c>
      <c r="N93" s="22">
        <v>608</v>
      </c>
      <c r="O93" s="22">
        <v>1418</v>
      </c>
      <c r="P93" s="22">
        <v>0</v>
      </c>
      <c r="Q93" s="21">
        <f>K93+N93</f>
        <v>1182</v>
      </c>
      <c r="R93" s="21">
        <f>G93+H93+I93+J93+K93+N93+P93</f>
        <v>1207</v>
      </c>
      <c r="S93" s="21">
        <f>L93+M93+O93</f>
        <v>3098</v>
      </c>
      <c r="T93" s="21">
        <f>F93-R93</f>
        <v>18793</v>
      </c>
      <c r="U93" s="24" t="s">
        <v>30</v>
      </c>
    </row>
    <row r="94" spans="1:21" ht="15.75" customHeight="1">
      <c r="A94" s="19">
        <v>79</v>
      </c>
      <c r="B94" s="23" t="s">
        <v>148</v>
      </c>
      <c r="C94" s="23" t="s">
        <v>149</v>
      </c>
      <c r="D94" s="19" t="s">
        <v>78</v>
      </c>
      <c r="E94" s="24" t="s">
        <v>29</v>
      </c>
      <c r="F94" s="21">
        <v>10000</v>
      </c>
      <c r="G94" s="22">
        <v>0</v>
      </c>
      <c r="H94" s="22">
        <v>25</v>
      </c>
      <c r="I94" s="22">
        <v>0</v>
      </c>
      <c r="J94" s="22">
        <v>0</v>
      </c>
      <c r="K94" s="22">
        <f>F94*2.87%</f>
        <v>287</v>
      </c>
      <c r="L94" s="22">
        <f>F94*7.1%</f>
        <v>709.99999999999989</v>
      </c>
      <c r="M94" s="22">
        <v>130</v>
      </c>
      <c r="N94" s="22">
        <v>304</v>
      </c>
      <c r="O94" s="22">
        <v>709</v>
      </c>
      <c r="P94" s="22">
        <v>0</v>
      </c>
      <c r="Q94" s="21">
        <f>K94+N94</f>
        <v>591</v>
      </c>
      <c r="R94" s="21">
        <f>G94+H94+I94+J94+K94+N94+P94</f>
        <v>616</v>
      </c>
      <c r="S94" s="21">
        <f>L94+M94+O94</f>
        <v>1549</v>
      </c>
      <c r="T94" s="21">
        <f>F94-R94</f>
        <v>9384</v>
      </c>
      <c r="U94" s="24" t="s">
        <v>30</v>
      </c>
    </row>
    <row r="95" spans="1:21" ht="15.75" customHeight="1">
      <c r="A95" s="23">
        <v>80</v>
      </c>
      <c r="B95" s="23" t="s">
        <v>150</v>
      </c>
      <c r="C95" s="23" t="s">
        <v>77</v>
      </c>
      <c r="D95" s="19" t="s">
        <v>78</v>
      </c>
      <c r="E95" s="24" t="s">
        <v>29</v>
      </c>
      <c r="F95" s="21">
        <v>10000</v>
      </c>
      <c r="G95" s="22">
        <v>0</v>
      </c>
      <c r="H95" s="22">
        <v>25</v>
      </c>
      <c r="I95" s="22">
        <v>0</v>
      </c>
      <c r="J95" s="22">
        <v>0</v>
      </c>
      <c r="K95" s="22">
        <f>F95*2.87%</f>
        <v>287</v>
      </c>
      <c r="L95" s="22">
        <f>F95*7.1%</f>
        <v>709.99999999999989</v>
      </c>
      <c r="M95" s="22">
        <v>130</v>
      </c>
      <c r="N95" s="22">
        <v>304</v>
      </c>
      <c r="O95" s="22">
        <v>709</v>
      </c>
      <c r="P95" s="22">
        <v>0</v>
      </c>
      <c r="Q95" s="21">
        <f>K95+N95</f>
        <v>591</v>
      </c>
      <c r="R95" s="21">
        <f>G95+H95+I95+J95+K95+N95+P95</f>
        <v>616</v>
      </c>
      <c r="S95" s="21">
        <f>L95+M95+O95</f>
        <v>1549</v>
      </c>
      <c r="T95" s="21">
        <f>F95-R95</f>
        <v>9384</v>
      </c>
      <c r="U95" s="24" t="s">
        <v>30</v>
      </c>
    </row>
    <row r="96" spans="1:21" ht="15.75" customHeight="1">
      <c r="A96" s="23">
        <v>81</v>
      </c>
      <c r="B96" s="23" t="s">
        <v>151</v>
      </c>
      <c r="C96" s="23" t="s">
        <v>68</v>
      </c>
      <c r="D96" s="19" t="s">
        <v>72</v>
      </c>
      <c r="E96" s="24" t="s">
        <v>29</v>
      </c>
      <c r="F96" s="21">
        <v>20000</v>
      </c>
      <c r="G96" s="22">
        <v>0</v>
      </c>
      <c r="H96" s="22">
        <v>25</v>
      </c>
      <c r="I96" s="22">
        <v>0</v>
      </c>
      <c r="J96" s="22">
        <v>0</v>
      </c>
      <c r="K96" s="22">
        <f>F96*2.87%</f>
        <v>574</v>
      </c>
      <c r="L96" s="22">
        <f>F96*7.1%</f>
        <v>1419.9999999999998</v>
      </c>
      <c r="M96" s="22">
        <v>260</v>
      </c>
      <c r="N96" s="22">
        <v>608</v>
      </c>
      <c r="O96" s="22">
        <v>1418</v>
      </c>
      <c r="P96" s="22">
        <v>0</v>
      </c>
      <c r="Q96" s="21">
        <f>K96+N96</f>
        <v>1182</v>
      </c>
      <c r="R96" s="21">
        <f>G96+H96+I96+J96+K96+N96+P96</f>
        <v>1207</v>
      </c>
      <c r="S96" s="21">
        <f>L96+M96+O96</f>
        <v>3098</v>
      </c>
      <c r="T96" s="21">
        <f>F96-R96</f>
        <v>18793</v>
      </c>
      <c r="U96" s="24" t="s">
        <v>36</v>
      </c>
    </row>
    <row r="97" spans="1:21" ht="15.75" customHeight="1">
      <c r="A97" s="19">
        <v>82</v>
      </c>
      <c r="B97" s="23" t="s">
        <v>152</v>
      </c>
      <c r="C97" s="23" t="s">
        <v>71</v>
      </c>
      <c r="D97" s="19" t="s">
        <v>72</v>
      </c>
      <c r="E97" s="24" t="s">
        <v>29</v>
      </c>
      <c r="F97" s="21">
        <v>10000</v>
      </c>
      <c r="G97" s="22">
        <v>0</v>
      </c>
      <c r="H97" s="22">
        <v>25</v>
      </c>
      <c r="I97" s="22">
        <v>0</v>
      </c>
      <c r="J97" s="22">
        <f>1000+300+4573.18</f>
        <v>5873.18</v>
      </c>
      <c r="K97" s="22">
        <f>F97*2.87%</f>
        <v>287</v>
      </c>
      <c r="L97" s="22">
        <f>F97*7.1%</f>
        <v>709.99999999999989</v>
      </c>
      <c r="M97" s="22">
        <v>130</v>
      </c>
      <c r="N97" s="22">
        <v>304</v>
      </c>
      <c r="O97" s="22">
        <v>709</v>
      </c>
      <c r="P97" s="22">
        <v>0</v>
      </c>
      <c r="Q97" s="21">
        <f>K97+N97</f>
        <v>591</v>
      </c>
      <c r="R97" s="21">
        <f>G97+H97+I97+J97+K97+N97+P97</f>
        <v>6489.18</v>
      </c>
      <c r="S97" s="21">
        <f>L97+M97+O97</f>
        <v>1549</v>
      </c>
      <c r="T97" s="21">
        <f>F97-R97</f>
        <v>3510.8199999999997</v>
      </c>
      <c r="U97" s="24" t="s">
        <v>36</v>
      </c>
    </row>
    <row r="98" spans="1:21" ht="15.75" customHeight="1">
      <c r="A98" s="23">
        <v>83</v>
      </c>
      <c r="B98" s="23" t="s">
        <v>153</v>
      </c>
      <c r="C98" s="23" t="s">
        <v>154</v>
      </c>
      <c r="D98" s="19" t="s">
        <v>55</v>
      </c>
      <c r="E98" s="24" t="s">
        <v>29</v>
      </c>
      <c r="F98" s="21">
        <v>25000</v>
      </c>
      <c r="G98" s="22">
        <v>0</v>
      </c>
      <c r="H98" s="22">
        <v>25</v>
      </c>
      <c r="I98" s="22">
        <v>0</v>
      </c>
      <c r="J98" s="22">
        <v>0</v>
      </c>
      <c r="K98" s="22">
        <f>F98*2.87%</f>
        <v>717.5</v>
      </c>
      <c r="L98" s="22">
        <f>F98*7.1%</f>
        <v>1774.9999999999998</v>
      </c>
      <c r="M98" s="22">
        <v>325</v>
      </c>
      <c r="N98" s="22">
        <v>760</v>
      </c>
      <c r="O98" s="22">
        <v>1772.5000000000002</v>
      </c>
      <c r="P98" s="22">
        <f>3174.76+786</f>
        <v>3960.76</v>
      </c>
      <c r="Q98" s="21">
        <f>K98+N98</f>
        <v>1477.5</v>
      </c>
      <c r="R98" s="21">
        <f>G98+H98+I98+J98+K98+N98+P98</f>
        <v>5463.26</v>
      </c>
      <c r="S98" s="21">
        <f>L98+M98+O98</f>
        <v>3872.5</v>
      </c>
      <c r="T98" s="21">
        <f>F98-R98</f>
        <v>19536.739999999998</v>
      </c>
      <c r="U98" s="24" t="s">
        <v>36</v>
      </c>
    </row>
    <row r="99" spans="1:21" ht="15.75" customHeight="1">
      <c r="A99" s="23">
        <v>84</v>
      </c>
      <c r="B99" s="23" t="s">
        <v>156</v>
      </c>
      <c r="C99" s="23" t="s">
        <v>63</v>
      </c>
      <c r="D99" s="23" t="s">
        <v>61</v>
      </c>
      <c r="E99" s="24" t="s">
        <v>29</v>
      </c>
      <c r="F99" s="21">
        <v>25000</v>
      </c>
      <c r="G99" s="22">
        <v>0</v>
      </c>
      <c r="H99" s="22">
        <v>25</v>
      </c>
      <c r="I99" s="22">
        <v>0</v>
      </c>
      <c r="J99" s="22">
        <v>0</v>
      </c>
      <c r="K99" s="22">
        <f>F99*2.87%</f>
        <v>717.5</v>
      </c>
      <c r="L99" s="22">
        <f>F99*7.1%</f>
        <v>1774.9999999999998</v>
      </c>
      <c r="M99" s="22">
        <v>325</v>
      </c>
      <c r="N99" s="22">
        <v>760</v>
      </c>
      <c r="O99" s="22">
        <v>1772.5000000000002</v>
      </c>
      <c r="P99" s="22">
        <v>1587.38</v>
      </c>
      <c r="Q99" s="21">
        <f>K99+N99</f>
        <v>1477.5</v>
      </c>
      <c r="R99" s="21">
        <f>G99+H99+I99+J99+K99+N99+P99</f>
        <v>3089.88</v>
      </c>
      <c r="S99" s="21">
        <f>L99+M99+O99</f>
        <v>3872.5</v>
      </c>
      <c r="T99" s="21">
        <f>F99-R99</f>
        <v>21910.12</v>
      </c>
      <c r="U99" s="24" t="s">
        <v>30</v>
      </c>
    </row>
    <row r="100" spans="1:21" ht="15.75" customHeight="1">
      <c r="A100" s="19">
        <v>85</v>
      </c>
      <c r="B100" s="23" t="s">
        <v>157</v>
      </c>
      <c r="C100" s="23" t="s">
        <v>158</v>
      </c>
      <c r="D100" s="19" t="s">
        <v>58</v>
      </c>
      <c r="E100" s="24" t="s">
        <v>29</v>
      </c>
      <c r="F100" s="21">
        <v>18000</v>
      </c>
      <c r="G100" s="22">
        <v>0</v>
      </c>
      <c r="H100" s="22">
        <v>25</v>
      </c>
      <c r="I100" s="22">
        <v>0</v>
      </c>
      <c r="J100" s="22">
        <v>0</v>
      </c>
      <c r="K100" s="22">
        <f>F100*2.87%</f>
        <v>516.6</v>
      </c>
      <c r="L100" s="22">
        <f>F100*7.1%</f>
        <v>1277.9999999999998</v>
      </c>
      <c r="M100" s="22">
        <v>234</v>
      </c>
      <c r="N100" s="22">
        <v>547.20000000000005</v>
      </c>
      <c r="O100" s="22">
        <v>1276.2</v>
      </c>
      <c r="P100" s="22">
        <v>0</v>
      </c>
      <c r="Q100" s="21">
        <f>K100+N100</f>
        <v>1063.8000000000002</v>
      </c>
      <c r="R100" s="21">
        <f>G100+H100+I100+J100+K100+N100+P100</f>
        <v>1088.8000000000002</v>
      </c>
      <c r="S100" s="21">
        <f>L100+M100+O100</f>
        <v>2788.2</v>
      </c>
      <c r="T100" s="21">
        <f>F100-R100</f>
        <v>16911.2</v>
      </c>
      <c r="U100" s="24" t="s">
        <v>30</v>
      </c>
    </row>
    <row r="101" spans="1:21" ht="15.75" customHeight="1">
      <c r="A101" s="23">
        <v>86</v>
      </c>
      <c r="B101" s="23" t="s">
        <v>159</v>
      </c>
      <c r="C101" s="23" t="s">
        <v>77</v>
      </c>
      <c r="D101" s="19" t="s">
        <v>78</v>
      </c>
      <c r="E101" s="24" t="s">
        <v>29</v>
      </c>
      <c r="F101" s="21">
        <v>18000</v>
      </c>
      <c r="G101" s="22">
        <v>0</v>
      </c>
      <c r="H101" s="22">
        <v>25</v>
      </c>
      <c r="I101" s="22">
        <v>0</v>
      </c>
      <c r="J101" s="22">
        <v>0</v>
      </c>
      <c r="K101" s="22">
        <f>F101*2.87%</f>
        <v>516.6</v>
      </c>
      <c r="L101" s="22">
        <f>F101*7.1%</f>
        <v>1277.9999999999998</v>
      </c>
      <c r="M101" s="22">
        <v>234</v>
      </c>
      <c r="N101" s="22">
        <v>547.20000000000005</v>
      </c>
      <c r="O101" s="22">
        <v>1276.2</v>
      </c>
      <c r="P101" s="22">
        <v>0</v>
      </c>
      <c r="Q101" s="21">
        <f>K101+N101</f>
        <v>1063.8000000000002</v>
      </c>
      <c r="R101" s="21">
        <f>G101+H101+I101+J101+K101+N101+P101</f>
        <v>1088.8000000000002</v>
      </c>
      <c r="S101" s="21">
        <f>L101+M101+O101</f>
        <v>2788.2</v>
      </c>
      <c r="T101" s="21">
        <f>F101-R101</f>
        <v>16911.2</v>
      </c>
      <c r="U101" s="24" t="s">
        <v>30</v>
      </c>
    </row>
    <row r="102" spans="1:21" ht="15.75" customHeight="1">
      <c r="A102" s="23">
        <v>87</v>
      </c>
      <c r="B102" s="23" t="s">
        <v>160</v>
      </c>
      <c r="C102" s="23" t="s">
        <v>161</v>
      </c>
      <c r="D102" s="19" t="s">
        <v>98</v>
      </c>
      <c r="E102" s="24" t="s">
        <v>29</v>
      </c>
      <c r="F102" s="21">
        <v>18000</v>
      </c>
      <c r="G102" s="22">
        <v>0</v>
      </c>
      <c r="H102" s="22">
        <v>25</v>
      </c>
      <c r="I102" s="22">
        <v>0</v>
      </c>
      <c r="J102" s="22">
        <v>0</v>
      </c>
      <c r="K102" s="22">
        <f>F102*2.87%</f>
        <v>516.6</v>
      </c>
      <c r="L102" s="22">
        <f>F102*7.1%</f>
        <v>1277.9999999999998</v>
      </c>
      <c r="M102" s="22">
        <v>234</v>
      </c>
      <c r="N102" s="22">
        <v>547.20000000000005</v>
      </c>
      <c r="O102" s="22">
        <v>1276.2</v>
      </c>
      <c r="P102" s="22">
        <v>0</v>
      </c>
      <c r="Q102" s="21">
        <f>K102+N102</f>
        <v>1063.8000000000002</v>
      </c>
      <c r="R102" s="21">
        <f>G102+H102+I102+J102+K102+N102+P102</f>
        <v>1088.8000000000002</v>
      </c>
      <c r="S102" s="21">
        <f>L102+M102+O102</f>
        <v>2788.2</v>
      </c>
      <c r="T102" s="21">
        <f>F102-R102</f>
        <v>16911.2</v>
      </c>
      <c r="U102" s="24" t="s">
        <v>30</v>
      </c>
    </row>
    <row r="103" spans="1:21" ht="15.75" customHeight="1">
      <c r="A103" s="19">
        <v>88</v>
      </c>
      <c r="B103" s="23" t="s">
        <v>162</v>
      </c>
      <c r="C103" s="23" t="s">
        <v>77</v>
      </c>
      <c r="D103" s="19" t="s">
        <v>163</v>
      </c>
      <c r="E103" s="24" t="s">
        <v>29</v>
      </c>
      <c r="F103" s="21">
        <v>12000</v>
      </c>
      <c r="G103" s="22">
        <v>0</v>
      </c>
      <c r="H103" s="22">
        <v>25</v>
      </c>
      <c r="I103" s="22">
        <v>0</v>
      </c>
      <c r="J103" s="22">
        <v>0</v>
      </c>
      <c r="K103" s="22">
        <f>F103*2.87%</f>
        <v>344.4</v>
      </c>
      <c r="L103" s="22">
        <f>F103*7.1%</f>
        <v>851.99999999999989</v>
      </c>
      <c r="M103" s="22">
        <v>156</v>
      </c>
      <c r="N103" s="22">
        <v>364.8</v>
      </c>
      <c r="O103" s="22">
        <v>850.80000000000007</v>
      </c>
      <c r="P103" s="22">
        <v>0</v>
      </c>
      <c r="Q103" s="21">
        <f>K103+N103</f>
        <v>709.2</v>
      </c>
      <c r="R103" s="21">
        <f>G103+H103+I103+J103+K103+N103+P103</f>
        <v>734.2</v>
      </c>
      <c r="S103" s="21">
        <f>L103+M103+O103</f>
        <v>1858.8</v>
      </c>
      <c r="T103" s="21">
        <f>F103-R103</f>
        <v>11265.8</v>
      </c>
      <c r="U103" s="24" t="s">
        <v>30</v>
      </c>
    </row>
    <row r="104" spans="1:21" ht="15.75" customHeight="1">
      <c r="A104" s="23">
        <v>89</v>
      </c>
      <c r="B104" s="23" t="s">
        <v>165</v>
      </c>
      <c r="C104" s="23" t="s">
        <v>60</v>
      </c>
      <c r="D104" s="19" t="s">
        <v>72</v>
      </c>
      <c r="E104" s="24" t="s">
        <v>29</v>
      </c>
      <c r="F104" s="21">
        <v>30000</v>
      </c>
      <c r="G104" s="22">
        <v>0</v>
      </c>
      <c r="H104" s="22">
        <v>25</v>
      </c>
      <c r="I104" s="22">
        <v>0</v>
      </c>
      <c r="J104" s="22">
        <v>0</v>
      </c>
      <c r="K104" s="22">
        <f>F104*2.87%</f>
        <v>861</v>
      </c>
      <c r="L104" s="22">
        <f>F104*7.1%</f>
        <v>2130</v>
      </c>
      <c r="M104" s="22">
        <v>390</v>
      </c>
      <c r="N104" s="22">
        <v>912</v>
      </c>
      <c r="O104" s="22">
        <v>2127</v>
      </c>
      <c r="P104" s="22">
        <v>0</v>
      </c>
      <c r="Q104" s="21">
        <f>K104+N104</f>
        <v>1773</v>
      </c>
      <c r="R104" s="21">
        <f>G104+H104+I104+J104+K104+N104+P104</f>
        <v>1798</v>
      </c>
      <c r="S104" s="21">
        <f>L104+M104+O104</f>
        <v>4647</v>
      </c>
      <c r="T104" s="21">
        <f>F104-R104</f>
        <v>28202</v>
      </c>
      <c r="U104" s="24" t="s">
        <v>30</v>
      </c>
    </row>
    <row r="105" spans="1:21" ht="15.75" customHeight="1">
      <c r="A105" s="23">
        <v>90</v>
      </c>
      <c r="B105" s="23" t="s">
        <v>166</v>
      </c>
      <c r="C105" s="23" t="s">
        <v>68</v>
      </c>
      <c r="D105" s="19" t="s">
        <v>49</v>
      </c>
      <c r="E105" s="24" t="s">
        <v>29</v>
      </c>
      <c r="F105" s="21">
        <v>18000</v>
      </c>
      <c r="G105" s="22">
        <v>0</v>
      </c>
      <c r="H105" s="22">
        <v>25</v>
      </c>
      <c r="I105" s="22">
        <v>0</v>
      </c>
      <c r="J105" s="22">
        <v>0</v>
      </c>
      <c r="K105" s="22">
        <f>F105*2.87%</f>
        <v>516.6</v>
      </c>
      <c r="L105" s="22">
        <f>F105*7.1%</f>
        <v>1277.9999999999998</v>
      </c>
      <c r="M105" s="22">
        <v>234</v>
      </c>
      <c r="N105" s="22">
        <v>547.20000000000005</v>
      </c>
      <c r="O105" s="22">
        <v>1276.2</v>
      </c>
      <c r="P105" s="22">
        <v>0</v>
      </c>
      <c r="Q105" s="21">
        <f>K105+N105</f>
        <v>1063.8000000000002</v>
      </c>
      <c r="R105" s="21">
        <f>G105+H105+I105+J105+K105+N105+P105</f>
        <v>1088.8000000000002</v>
      </c>
      <c r="S105" s="21">
        <f>L105+M105+O105</f>
        <v>2788.2</v>
      </c>
      <c r="T105" s="21">
        <f>F105-R105</f>
        <v>16911.2</v>
      </c>
      <c r="U105" s="24" t="s">
        <v>36</v>
      </c>
    </row>
    <row r="106" spans="1:21" ht="15.75" customHeight="1">
      <c r="A106" s="19">
        <v>91</v>
      </c>
      <c r="B106" s="23" t="s">
        <v>167</v>
      </c>
      <c r="C106" s="23" t="s">
        <v>68</v>
      </c>
      <c r="D106" s="19" t="s">
        <v>72</v>
      </c>
      <c r="E106" s="24" t="s">
        <v>29</v>
      </c>
      <c r="F106" s="21">
        <v>25000</v>
      </c>
      <c r="G106" s="22">
        <v>0</v>
      </c>
      <c r="H106" s="22">
        <v>25</v>
      </c>
      <c r="I106" s="22">
        <v>0</v>
      </c>
      <c r="J106" s="22">
        <v>0</v>
      </c>
      <c r="K106" s="22">
        <f>F106*2.87%</f>
        <v>717.5</v>
      </c>
      <c r="L106" s="22">
        <f>F106*7.1%</f>
        <v>1774.9999999999998</v>
      </c>
      <c r="M106" s="22">
        <v>325</v>
      </c>
      <c r="N106" s="22">
        <v>760</v>
      </c>
      <c r="O106" s="22">
        <v>1772.5000000000002</v>
      </c>
      <c r="P106" s="22">
        <v>0</v>
      </c>
      <c r="Q106" s="21">
        <f>K106+N106</f>
        <v>1477.5</v>
      </c>
      <c r="R106" s="21">
        <f>G106+H106+I106+J106+K106+N106+P106</f>
        <v>1502.5</v>
      </c>
      <c r="S106" s="21">
        <f>L106+M106+O106</f>
        <v>3872.5</v>
      </c>
      <c r="T106" s="21">
        <f>F106-R106</f>
        <v>23497.5</v>
      </c>
      <c r="U106" s="24" t="s">
        <v>30</v>
      </c>
    </row>
    <row r="107" spans="1:21" ht="15.75" customHeight="1">
      <c r="A107" s="23">
        <v>92</v>
      </c>
      <c r="B107" s="23" t="s">
        <v>168</v>
      </c>
      <c r="C107" s="23" t="s">
        <v>63</v>
      </c>
      <c r="D107" s="23" t="s">
        <v>98</v>
      </c>
      <c r="E107" s="24" t="s">
        <v>29</v>
      </c>
      <c r="F107" s="21">
        <v>22000</v>
      </c>
      <c r="G107" s="22">
        <v>0</v>
      </c>
      <c r="H107" s="22">
        <v>25</v>
      </c>
      <c r="I107" s="22">
        <v>0</v>
      </c>
      <c r="J107" s="22">
        <f>1700+1000+6499.21</f>
        <v>9199.2099999999991</v>
      </c>
      <c r="K107" s="22">
        <f>F107*2.87%</f>
        <v>631.4</v>
      </c>
      <c r="L107" s="22">
        <f>F107*7.1%</f>
        <v>1561.9999999999998</v>
      </c>
      <c r="M107" s="22">
        <v>286</v>
      </c>
      <c r="N107" s="22">
        <v>668.8</v>
      </c>
      <c r="O107" s="22">
        <v>1559.8000000000002</v>
      </c>
      <c r="P107" s="22">
        <v>0</v>
      </c>
      <c r="Q107" s="21">
        <f>K107+N107</f>
        <v>1300.1999999999998</v>
      </c>
      <c r="R107" s="21">
        <f>G107+H107+I107+J107+K107+N107+P107</f>
        <v>10524.409999999998</v>
      </c>
      <c r="S107" s="21">
        <f>L107+M107+O107</f>
        <v>3407.8</v>
      </c>
      <c r="T107" s="21">
        <f>F107-R107</f>
        <v>11475.590000000002</v>
      </c>
      <c r="U107" s="24" t="s">
        <v>30</v>
      </c>
    </row>
    <row r="108" spans="1:21" ht="15.75" customHeight="1">
      <c r="A108" s="23">
        <v>93</v>
      </c>
      <c r="B108" s="23" t="s">
        <v>169</v>
      </c>
      <c r="C108" s="23" t="s">
        <v>63</v>
      </c>
      <c r="D108" s="23" t="s">
        <v>98</v>
      </c>
      <c r="E108" s="24" t="s">
        <v>29</v>
      </c>
      <c r="F108" s="21">
        <v>20000</v>
      </c>
      <c r="G108" s="22">
        <v>0</v>
      </c>
      <c r="H108" s="22">
        <v>25</v>
      </c>
      <c r="I108" s="22">
        <v>0</v>
      </c>
      <c r="J108" s="22">
        <f>500+1000+2170.54</f>
        <v>3670.54</v>
      </c>
      <c r="K108" s="22">
        <f>F108*2.87%</f>
        <v>574</v>
      </c>
      <c r="L108" s="22">
        <f>F108*7.1%</f>
        <v>1419.9999999999998</v>
      </c>
      <c r="M108" s="22">
        <v>260</v>
      </c>
      <c r="N108" s="22">
        <v>608</v>
      </c>
      <c r="O108" s="22">
        <v>1418</v>
      </c>
      <c r="P108" s="22">
        <v>0</v>
      </c>
      <c r="Q108" s="21">
        <f>K108+N108</f>
        <v>1182</v>
      </c>
      <c r="R108" s="21">
        <f>G108+H108+I108+J108+K108+N108+P108</f>
        <v>4877.54</v>
      </c>
      <c r="S108" s="21">
        <f>L108+M108+O108</f>
        <v>3098</v>
      </c>
      <c r="T108" s="21">
        <f>F108-R108</f>
        <v>15122.46</v>
      </c>
      <c r="U108" s="24" t="s">
        <v>30</v>
      </c>
    </row>
    <row r="109" spans="1:21" ht="15.75" customHeight="1">
      <c r="A109" s="19">
        <v>94</v>
      </c>
      <c r="B109" s="23" t="s">
        <v>170</v>
      </c>
      <c r="C109" s="23" t="s">
        <v>66</v>
      </c>
      <c r="D109" s="23" t="s">
        <v>52</v>
      </c>
      <c r="E109" s="24" t="s">
        <v>29</v>
      </c>
      <c r="F109" s="21">
        <v>22100</v>
      </c>
      <c r="G109" s="22">
        <v>0</v>
      </c>
      <c r="H109" s="22">
        <v>25</v>
      </c>
      <c r="I109" s="22">
        <v>0</v>
      </c>
      <c r="J109" s="22">
        <f>700+300</f>
        <v>1000</v>
      </c>
      <c r="K109" s="22">
        <f>F109*2.87%</f>
        <v>634.27</v>
      </c>
      <c r="L109" s="22">
        <f>F109*7.1%</f>
        <v>1569.1</v>
      </c>
      <c r="M109" s="22">
        <v>287.3</v>
      </c>
      <c r="N109" s="22">
        <v>671.84</v>
      </c>
      <c r="O109" s="22">
        <v>1566.89</v>
      </c>
      <c r="P109" s="22">
        <v>0</v>
      </c>
      <c r="Q109" s="21">
        <f>K109+N109</f>
        <v>1306.1100000000001</v>
      </c>
      <c r="R109" s="21">
        <f>G109+H109+I109+J109+K109+N109+P109</f>
        <v>2331.11</v>
      </c>
      <c r="S109" s="21">
        <f>L109+M109+O109</f>
        <v>3423.29</v>
      </c>
      <c r="T109" s="21">
        <f>F109-R109</f>
        <v>19768.89</v>
      </c>
      <c r="U109" s="24" t="s">
        <v>30</v>
      </c>
    </row>
    <row r="110" spans="1:21" ht="15.75" customHeight="1">
      <c r="A110" s="23">
        <v>95</v>
      </c>
      <c r="B110" s="23" t="s">
        <v>171</v>
      </c>
      <c r="C110" s="23" t="s">
        <v>77</v>
      </c>
      <c r="D110" s="23" t="s">
        <v>78</v>
      </c>
      <c r="E110" s="24" t="s">
        <v>29</v>
      </c>
      <c r="F110" s="21">
        <v>10000</v>
      </c>
      <c r="G110" s="22">
        <v>0</v>
      </c>
      <c r="H110" s="22">
        <v>25</v>
      </c>
      <c r="I110" s="22">
        <v>0</v>
      </c>
      <c r="J110" s="22">
        <v>0</v>
      </c>
      <c r="K110" s="22">
        <f>F110*2.87%</f>
        <v>287</v>
      </c>
      <c r="L110" s="22">
        <f>F110*7.1%</f>
        <v>709.99999999999989</v>
      </c>
      <c r="M110" s="22">
        <v>130</v>
      </c>
      <c r="N110" s="22">
        <v>304</v>
      </c>
      <c r="O110" s="22">
        <v>709</v>
      </c>
      <c r="P110" s="22">
        <v>0</v>
      </c>
      <c r="Q110" s="21">
        <f>K110+N110</f>
        <v>591</v>
      </c>
      <c r="R110" s="21">
        <f>G110+H110+I110+J110+K110+N110+P110</f>
        <v>616</v>
      </c>
      <c r="S110" s="21">
        <f>L110+M110+O110</f>
        <v>1549</v>
      </c>
      <c r="T110" s="21">
        <f>F110-R110</f>
        <v>9384</v>
      </c>
      <c r="U110" s="24" t="s">
        <v>36</v>
      </c>
    </row>
    <row r="111" spans="1:21" ht="15.75" customHeight="1">
      <c r="A111" s="23">
        <v>96</v>
      </c>
      <c r="B111" s="23" t="s">
        <v>172</v>
      </c>
      <c r="C111" s="23" t="s">
        <v>149</v>
      </c>
      <c r="D111" s="23" t="s">
        <v>98</v>
      </c>
      <c r="E111" s="24" t="s">
        <v>29</v>
      </c>
      <c r="F111" s="21">
        <v>30000</v>
      </c>
      <c r="G111" s="22">
        <v>0</v>
      </c>
      <c r="H111" s="22">
        <v>25</v>
      </c>
      <c r="I111" s="22">
        <v>0</v>
      </c>
      <c r="J111" s="22">
        <v>0</v>
      </c>
      <c r="K111" s="22">
        <f>F111*2.87%</f>
        <v>861</v>
      </c>
      <c r="L111" s="22">
        <f>F111*7.1%</f>
        <v>2130</v>
      </c>
      <c r="M111" s="22">
        <v>390</v>
      </c>
      <c r="N111" s="22">
        <v>912</v>
      </c>
      <c r="O111" s="22">
        <v>2127</v>
      </c>
      <c r="P111" s="22">
        <v>0</v>
      </c>
      <c r="Q111" s="21">
        <f>K111+N111</f>
        <v>1773</v>
      </c>
      <c r="R111" s="21">
        <f>G111+H111+I111+J111+K111+N111+P111</f>
        <v>1798</v>
      </c>
      <c r="S111" s="21">
        <f>L111+M111+O111</f>
        <v>4647</v>
      </c>
      <c r="T111" s="21">
        <f>F111-R111</f>
        <v>28202</v>
      </c>
      <c r="U111" s="24" t="s">
        <v>30</v>
      </c>
    </row>
    <row r="112" spans="1:21" ht="15.75" customHeight="1">
      <c r="A112" s="19">
        <v>97</v>
      </c>
      <c r="B112" s="23" t="s">
        <v>173</v>
      </c>
      <c r="C112" s="23" t="s">
        <v>68</v>
      </c>
      <c r="D112" s="23" t="s">
        <v>98</v>
      </c>
      <c r="E112" s="24" t="s">
        <v>29</v>
      </c>
      <c r="F112" s="21">
        <v>14000</v>
      </c>
      <c r="G112" s="22">
        <v>0</v>
      </c>
      <c r="H112" s="22">
        <v>25</v>
      </c>
      <c r="I112" s="22">
        <v>0</v>
      </c>
      <c r="J112" s="22">
        <f>700+1000+4252.47</f>
        <v>5952.47</v>
      </c>
      <c r="K112" s="22">
        <f>F112*2.87%</f>
        <v>401.8</v>
      </c>
      <c r="L112" s="22">
        <f>F112*7.1%</f>
        <v>993.99999999999989</v>
      </c>
      <c r="M112" s="22">
        <v>182</v>
      </c>
      <c r="N112" s="22">
        <v>425.6</v>
      </c>
      <c r="O112" s="22">
        <v>992.6</v>
      </c>
      <c r="P112" s="22">
        <v>0</v>
      </c>
      <c r="Q112" s="21">
        <f>K112+N112</f>
        <v>827.40000000000009</v>
      </c>
      <c r="R112" s="21">
        <f>G112+H112+I112+J112+K112+N112+P112</f>
        <v>6804.8700000000008</v>
      </c>
      <c r="S112" s="21">
        <f>L112+M112+O112</f>
        <v>2168.6</v>
      </c>
      <c r="T112" s="21">
        <f>F112-R112</f>
        <v>7195.1299999999992</v>
      </c>
      <c r="U112" s="24" t="s">
        <v>30</v>
      </c>
    </row>
    <row r="113" spans="1:21" ht="15.75" customHeight="1">
      <c r="A113" s="23">
        <v>98</v>
      </c>
      <c r="B113" s="23" t="s">
        <v>174</v>
      </c>
      <c r="C113" s="23" t="s">
        <v>77</v>
      </c>
      <c r="D113" s="23" t="s">
        <v>64</v>
      </c>
      <c r="E113" s="24" t="s">
        <v>29</v>
      </c>
      <c r="F113" s="21">
        <v>10000</v>
      </c>
      <c r="G113" s="22">
        <v>0</v>
      </c>
      <c r="H113" s="22">
        <v>25</v>
      </c>
      <c r="I113" s="22">
        <v>0</v>
      </c>
      <c r="J113" s="22">
        <v>0</v>
      </c>
      <c r="K113" s="22">
        <f>F113*2.87%</f>
        <v>287</v>
      </c>
      <c r="L113" s="22">
        <f>F113*7.1%</f>
        <v>709.99999999999989</v>
      </c>
      <c r="M113" s="22">
        <v>130</v>
      </c>
      <c r="N113" s="22">
        <v>304</v>
      </c>
      <c r="O113" s="22">
        <v>709</v>
      </c>
      <c r="P113" s="22">
        <v>0</v>
      </c>
      <c r="Q113" s="21">
        <f>K113+N113</f>
        <v>591</v>
      </c>
      <c r="R113" s="21">
        <f>G113+H113+I113+J113+K113+N113+P113</f>
        <v>616</v>
      </c>
      <c r="S113" s="21">
        <f>L113+M113+O113</f>
        <v>1549</v>
      </c>
      <c r="T113" s="21">
        <f>F113-R113</f>
        <v>9384</v>
      </c>
      <c r="U113" s="24" t="s">
        <v>30</v>
      </c>
    </row>
    <row r="114" spans="1:21" ht="15.75" customHeight="1">
      <c r="A114" s="23">
        <v>99</v>
      </c>
      <c r="B114" s="23" t="s">
        <v>175</v>
      </c>
      <c r="C114" s="23" t="s">
        <v>176</v>
      </c>
      <c r="D114" s="23" t="s">
        <v>177</v>
      </c>
      <c r="E114" s="24" t="s">
        <v>29</v>
      </c>
      <c r="F114" s="21">
        <v>18000</v>
      </c>
      <c r="G114" s="22">
        <v>0</v>
      </c>
      <c r="H114" s="22">
        <v>25</v>
      </c>
      <c r="I114" s="22">
        <v>0</v>
      </c>
      <c r="J114" s="22">
        <f>1000+300+6522.53</f>
        <v>7822.53</v>
      </c>
      <c r="K114" s="22">
        <f>F114*2.87%</f>
        <v>516.6</v>
      </c>
      <c r="L114" s="22">
        <f>F114*7.1%</f>
        <v>1277.9999999999998</v>
      </c>
      <c r="M114" s="22">
        <v>234</v>
      </c>
      <c r="N114" s="22">
        <v>547.20000000000005</v>
      </c>
      <c r="O114" s="22">
        <v>1276.2</v>
      </c>
      <c r="P114" s="22">
        <v>0</v>
      </c>
      <c r="Q114" s="21">
        <f>K114+N114</f>
        <v>1063.8000000000002</v>
      </c>
      <c r="R114" s="21">
        <f>G114+H114+I114+J114+K114+N114+P114</f>
        <v>8911.33</v>
      </c>
      <c r="S114" s="21">
        <f>L114+M114+O114</f>
        <v>2788.2</v>
      </c>
      <c r="T114" s="21">
        <f>F114-R114</f>
        <v>9088.67</v>
      </c>
      <c r="U114" s="24" t="s">
        <v>30</v>
      </c>
    </row>
    <row r="115" spans="1:21" ht="15.75" customHeight="1">
      <c r="A115" s="19">
        <v>100</v>
      </c>
      <c r="B115" s="23" t="s">
        <v>178</v>
      </c>
      <c r="C115" s="23" t="s">
        <v>51</v>
      </c>
      <c r="D115" s="23" t="s">
        <v>52</v>
      </c>
      <c r="E115" s="24" t="s">
        <v>29</v>
      </c>
      <c r="F115" s="21">
        <v>20000</v>
      </c>
      <c r="G115" s="22">
        <v>0</v>
      </c>
      <c r="H115" s="22">
        <v>25</v>
      </c>
      <c r="I115" s="22">
        <v>0</v>
      </c>
      <c r="J115" s="22">
        <v>0</v>
      </c>
      <c r="K115" s="22">
        <f>F115*2.87%</f>
        <v>574</v>
      </c>
      <c r="L115" s="22">
        <f>F115*7.1%</f>
        <v>1419.9999999999998</v>
      </c>
      <c r="M115" s="22">
        <v>260</v>
      </c>
      <c r="N115" s="22">
        <v>608</v>
      </c>
      <c r="O115" s="22">
        <v>1418</v>
      </c>
      <c r="P115" s="22">
        <v>0</v>
      </c>
      <c r="Q115" s="21">
        <f>K115+N115</f>
        <v>1182</v>
      </c>
      <c r="R115" s="21">
        <f>G115+H115+I115+J115+K115+N115+P115</f>
        <v>1207</v>
      </c>
      <c r="S115" s="21">
        <f>L115+M115+O115</f>
        <v>3098</v>
      </c>
      <c r="T115" s="21">
        <f>F115-R115</f>
        <v>18793</v>
      </c>
      <c r="U115" s="24" t="s">
        <v>30</v>
      </c>
    </row>
    <row r="116" spans="1:21" ht="15.75" customHeight="1">
      <c r="A116" s="23">
        <v>101</v>
      </c>
      <c r="B116" s="23" t="s">
        <v>179</v>
      </c>
      <c r="C116" s="23" t="s">
        <v>51</v>
      </c>
      <c r="D116" s="23" t="s">
        <v>52</v>
      </c>
      <c r="E116" s="24" t="s">
        <v>29</v>
      </c>
      <c r="F116" s="21">
        <v>10000</v>
      </c>
      <c r="G116" s="22">
        <v>0</v>
      </c>
      <c r="H116" s="22">
        <v>25</v>
      </c>
      <c r="I116" s="22">
        <v>0</v>
      </c>
      <c r="J116" s="22">
        <v>0</v>
      </c>
      <c r="K116" s="22">
        <f>F116*2.87%</f>
        <v>287</v>
      </c>
      <c r="L116" s="22">
        <f>F116*7.1%</f>
        <v>709.99999999999989</v>
      </c>
      <c r="M116" s="22">
        <v>130</v>
      </c>
      <c r="N116" s="22">
        <v>304</v>
      </c>
      <c r="O116" s="22">
        <v>709</v>
      </c>
      <c r="P116" s="22">
        <v>0</v>
      </c>
      <c r="Q116" s="21">
        <f>K116+N116</f>
        <v>591</v>
      </c>
      <c r="R116" s="21">
        <f>G116+H116+I116+J116+K116+N116+P116</f>
        <v>616</v>
      </c>
      <c r="S116" s="21">
        <f>L116+M116+O116</f>
        <v>1549</v>
      </c>
      <c r="T116" s="21">
        <f>F116-R116</f>
        <v>9384</v>
      </c>
      <c r="U116" s="24" t="s">
        <v>36</v>
      </c>
    </row>
    <row r="117" spans="1:21" ht="15.75" customHeight="1">
      <c r="A117" s="23">
        <v>102</v>
      </c>
      <c r="B117" s="23" t="s">
        <v>180</v>
      </c>
      <c r="C117" s="23" t="s">
        <v>57</v>
      </c>
      <c r="D117" s="23" t="s">
        <v>58</v>
      </c>
      <c r="E117" s="24" t="s">
        <v>29</v>
      </c>
      <c r="F117" s="21">
        <v>10000</v>
      </c>
      <c r="G117" s="22">
        <v>0</v>
      </c>
      <c r="H117" s="22">
        <v>25</v>
      </c>
      <c r="I117" s="22">
        <v>0</v>
      </c>
      <c r="J117" s="22">
        <f>1000+3868.19</f>
        <v>4868.1900000000005</v>
      </c>
      <c r="K117" s="22">
        <f>F117*2.87%</f>
        <v>287</v>
      </c>
      <c r="L117" s="22">
        <f>F117*7.1%</f>
        <v>709.99999999999989</v>
      </c>
      <c r="M117" s="22">
        <v>130</v>
      </c>
      <c r="N117" s="22">
        <v>304</v>
      </c>
      <c r="O117" s="22">
        <v>709</v>
      </c>
      <c r="P117" s="22">
        <v>0</v>
      </c>
      <c r="Q117" s="21">
        <f>K117+N117</f>
        <v>591</v>
      </c>
      <c r="R117" s="21">
        <f>G117+H117+I117+J117+K117+N117+P117</f>
        <v>5484.1900000000005</v>
      </c>
      <c r="S117" s="21">
        <f>L117+M117+O117</f>
        <v>1549</v>
      </c>
      <c r="T117" s="21">
        <f>F117-R117</f>
        <v>4515.8099999999995</v>
      </c>
      <c r="U117" s="24" t="s">
        <v>36</v>
      </c>
    </row>
    <row r="118" spans="1:21" ht="15.75" customHeight="1">
      <c r="A118" s="19">
        <v>103</v>
      </c>
      <c r="B118" s="23" t="s">
        <v>181</v>
      </c>
      <c r="C118" s="23" t="s">
        <v>68</v>
      </c>
      <c r="D118" s="23" t="s">
        <v>78</v>
      </c>
      <c r="E118" s="24" t="s">
        <v>29</v>
      </c>
      <c r="F118" s="21">
        <v>17000</v>
      </c>
      <c r="G118" s="22">
        <v>0</v>
      </c>
      <c r="H118" s="22">
        <v>25</v>
      </c>
      <c r="I118" s="22">
        <v>0</v>
      </c>
      <c r="J118" s="22">
        <v>0</v>
      </c>
      <c r="K118" s="22">
        <f>F118*2.87%</f>
        <v>487.9</v>
      </c>
      <c r="L118" s="22">
        <f>F118*7.1%</f>
        <v>1207</v>
      </c>
      <c r="M118" s="22">
        <v>221</v>
      </c>
      <c r="N118" s="22">
        <v>516.79999999999995</v>
      </c>
      <c r="O118" s="22">
        <v>1205.3000000000002</v>
      </c>
      <c r="P118" s="22">
        <v>0</v>
      </c>
      <c r="Q118" s="21">
        <f>K118+N118</f>
        <v>1004.6999999999999</v>
      </c>
      <c r="R118" s="21">
        <f>G118+H118+I118+J118+K118+N118+P118</f>
        <v>1029.6999999999998</v>
      </c>
      <c r="S118" s="21">
        <f>L118+M118+O118</f>
        <v>2633.3</v>
      </c>
      <c r="T118" s="21">
        <f>F118-R118</f>
        <v>15970.3</v>
      </c>
      <c r="U118" s="24" t="s">
        <v>36</v>
      </c>
    </row>
    <row r="119" spans="1:21" ht="15.75" customHeight="1">
      <c r="A119" s="23">
        <v>104</v>
      </c>
      <c r="B119" s="23" t="s">
        <v>182</v>
      </c>
      <c r="C119" s="23" t="s">
        <v>71</v>
      </c>
      <c r="D119" s="23" t="s">
        <v>61</v>
      </c>
      <c r="E119" s="24" t="s">
        <v>29</v>
      </c>
      <c r="F119" s="21">
        <v>10000</v>
      </c>
      <c r="G119" s="22">
        <v>0</v>
      </c>
      <c r="H119" s="22">
        <v>25</v>
      </c>
      <c r="I119" s="22">
        <v>0</v>
      </c>
      <c r="J119" s="22">
        <f>300+400+2478.83+1775</f>
        <v>4953.83</v>
      </c>
      <c r="K119" s="22">
        <f>F119*2.87%</f>
        <v>287</v>
      </c>
      <c r="L119" s="22">
        <f>F119*7.1%</f>
        <v>709.99999999999989</v>
      </c>
      <c r="M119" s="22">
        <v>130</v>
      </c>
      <c r="N119" s="22">
        <v>304</v>
      </c>
      <c r="O119" s="22">
        <v>709</v>
      </c>
      <c r="P119" s="22">
        <v>0</v>
      </c>
      <c r="Q119" s="21">
        <f>K119+N119</f>
        <v>591</v>
      </c>
      <c r="R119" s="21">
        <f>G119+H119+I119+J119+K119+N119+P119</f>
        <v>5569.83</v>
      </c>
      <c r="S119" s="21">
        <f>L119+M119+O119</f>
        <v>1549</v>
      </c>
      <c r="T119" s="21">
        <f>F119-R119</f>
        <v>4430.17</v>
      </c>
      <c r="U119" s="24" t="s">
        <v>36</v>
      </c>
    </row>
    <row r="120" spans="1:21" ht="15.75" customHeight="1">
      <c r="A120" s="23">
        <v>105</v>
      </c>
      <c r="B120" s="23" t="s">
        <v>183</v>
      </c>
      <c r="C120" s="23" t="s">
        <v>71</v>
      </c>
      <c r="D120" s="23" t="s">
        <v>64</v>
      </c>
      <c r="E120" s="24" t="s">
        <v>29</v>
      </c>
      <c r="F120" s="21">
        <v>10000</v>
      </c>
      <c r="G120" s="22">
        <v>0</v>
      </c>
      <c r="H120" s="22">
        <v>25</v>
      </c>
      <c r="I120" s="22">
        <v>0</v>
      </c>
      <c r="J120" s="22">
        <v>0</v>
      </c>
      <c r="K120" s="22">
        <f>F120*2.87%</f>
        <v>287</v>
      </c>
      <c r="L120" s="22">
        <f>F120*7.1%</f>
        <v>709.99999999999989</v>
      </c>
      <c r="M120" s="22">
        <v>130</v>
      </c>
      <c r="N120" s="22">
        <v>304</v>
      </c>
      <c r="O120" s="22">
        <v>709</v>
      </c>
      <c r="P120" s="22">
        <v>0</v>
      </c>
      <c r="Q120" s="21">
        <f>K120+N120</f>
        <v>591</v>
      </c>
      <c r="R120" s="21">
        <f>G120+H120+I120+J120+K120+N120+P120</f>
        <v>616</v>
      </c>
      <c r="S120" s="21">
        <f>L120+M120+O120</f>
        <v>1549</v>
      </c>
      <c r="T120" s="21">
        <f>F120-R120</f>
        <v>9384</v>
      </c>
      <c r="U120" s="24" t="s">
        <v>36</v>
      </c>
    </row>
    <row r="121" spans="1:21" ht="15.75" customHeight="1">
      <c r="A121" s="19">
        <v>106</v>
      </c>
      <c r="B121" s="23" t="s">
        <v>184</v>
      </c>
      <c r="C121" s="23" t="s">
        <v>77</v>
      </c>
      <c r="D121" s="23" t="s">
        <v>64</v>
      </c>
      <c r="E121" s="24" t="s">
        <v>29</v>
      </c>
      <c r="F121" s="21">
        <v>10000</v>
      </c>
      <c r="G121" s="22">
        <v>0</v>
      </c>
      <c r="H121" s="22">
        <v>25</v>
      </c>
      <c r="I121" s="22">
        <v>0</v>
      </c>
      <c r="J121" s="22">
        <v>0</v>
      </c>
      <c r="K121" s="22">
        <f>F121*2.87%</f>
        <v>287</v>
      </c>
      <c r="L121" s="22">
        <f>F121*7.1%</f>
        <v>709.99999999999989</v>
      </c>
      <c r="M121" s="22">
        <v>130</v>
      </c>
      <c r="N121" s="22">
        <v>304</v>
      </c>
      <c r="O121" s="22">
        <v>709</v>
      </c>
      <c r="P121" s="22">
        <v>0</v>
      </c>
      <c r="Q121" s="21">
        <f>K121+N121</f>
        <v>591</v>
      </c>
      <c r="R121" s="21">
        <f>G121+H121+I121+J121+K121+N121+P121</f>
        <v>616</v>
      </c>
      <c r="S121" s="21">
        <f>L121+M121+O121</f>
        <v>1549</v>
      </c>
      <c r="T121" s="21">
        <f>F121-R121</f>
        <v>9384</v>
      </c>
      <c r="U121" s="24" t="s">
        <v>30</v>
      </c>
    </row>
    <row r="122" spans="1:21" ht="15.75" customHeight="1">
      <c r="A122" s="23">
        <v>107</v>
      </c>
      <c r="B122" s="23" t="s">
        <v>185</v>
      </c>
      <c r="C122" s="23" t="s">
        <v>141</v>
      </c>
      <c r="D122" s="23" t="s">
        <v>58</v>
      </c>
      <c r="E122" s="24" t="s">
        <v>29</v>
      </c>
      <c r="F122" s="21">
        <v>15000</v>
      </c>
      <c r="G122" s="22">
        <v>0</v>
      </c>
      <c r="H122" s="22">
        <v>25</v>
      </c>
      <c r="I122" s="22">
        <v>0</v>
      </c>
      <c r="J122" s="22">
        <v>0</v>
      </c>
      <c r="K122" s="22">
        <f>F122*2.87%</f>
        <v>430.5</v>
      </c>
      <c r="L122" s="22">
        <f>F122*7.1%</f>
        <v>1065</v>
      </c>
      <c r="M122" s="22">
        <v>195</v>
      </c>
      <c r="N122" s="22">
        <v>456</v>
      </c>
      <c r="O122" s="22">
        <v>1063.5</v>
      </c>
      <c r="P122" s="22">
        <v>0</v>
      </c>
      <c r="Q122" s="21">
        <f>K122+N122</f>
        <v>886.5</v>
      </c>
      <c r="R122" s="21">
        <f>G122+H122+I122+J122+K122+N122+P122</f>
        <v>911.5</v>
      </c>
      <c r="S122" s="21">
        <f>L122+M122+O122</f>
        <v>2323.5</v>
      </c>
      <c r="T122" s="21">
        <f>F122-R122</f>
        <v>14088.5</v>
      </c>
      <c r="U122" s="24" t="s">
        <v>30</v>
      </c>
    </row>
    <row r="123" spans="1:21" ht="15.75" customHeight="1">
      <c r="A123" s="23">
        <v>108</v>
      </c>
      <c r="B123" s="23" t="s">
        <v>186</v>
      </c>
      <c r="C123" s="23" t="s">
        <v>77</v>
      </c>
      <c r="D123" s="23" t="s">
        <v>78</v>
      </c>
      <c r="E123" s="24" t="s">
        <v>29</v>
      </c>
      <c r="F123" s="21">
        <v>10000</v>
      </c>
      <c r="G123" s="22">
        <v>0</v>
      </c>
      <c r="H123" s="22">
        <v>25</v>
      </c>
      <c r="I123" s="22">
        <v>0</v>
      </c>
      <c r="J123" s="22">
        <v>0</v>
      </c>
      <c r="K123" s="22">
        <f>F123*2.87%</f>
        <v>287</v>
      </c>
      <c r="L123" s="22">
        <f>F123*7.1%</f>
        <v>709.99999999999989</v>
      </c>
      <c r="M123" s="22">
        <v>130</v>
      </c>
      <c r="N123" s="22">
        <v>304</v>
      </c>
      <c r="O123" s="22">
        <v>709</v>
      </c>
      <c r="P123" s="22">
        <v>0</v>
      </c>
      <c r="Q123" s="21">
        <f>K123+N123</f>
        <v>591</v>
      </c>
      <c r="R123" s="21">
        <f>G123+H123+I123+J123+K123+N123+P123</f>
        <v>616</v>
      </c>
      <c r="S123" s="21">
        <f>L123+M123+O123</f>
        <v>1549</v>
      </c>
      <c r="T123" s="21">
        <f>F123-R123</f>
        <v>9384</v>
      </c>
      <c r="U123" s="24" t="s">
        <v>30</v>
      </c>
    </row>
    <row r="124" spans="1:21" ht="15.75" customHeight="1">
      <c r="A124" s="19">
        <v>109</v>
      </c>
      <c r="B124" s="23" t="s">
        <v>187</v>
      </c>
      <c r="C124" s="23" t="s">
        <v>66</v>
      </c>
      <c r="D124" s="23" t="s">
        <v>64</v>
      </c>
      <c r="E124" s="24" t="s">
        <v>29</v>
      </c>
      <c r="F124" s="21">
        <v>25000</v>
      </c>
      <c r="G124" s="22">
        <v>0</v>
      </c>
      <c r="H124" s="22">
        <v>25</v>
      </c>
      <c r="I124" s="22">
        <v>0</v>
      </c>
      <c r="J124" s="22">
        <v>0</v>
      </c>
      <c r="K124" s="22">
        <f>F124*2.87%</f>
        <v>717.5</v>
      </c>
      <c r="L124" s="22">
        <f>F124*7.1%</f>
        <v>1774.9999999999998</v>
      </c>
      <c r="M124" s="22">
        <v>325</v>
      </c>
      <c r="N124" s="22">
        <v>760</v>
      </c>
      <c r="O124" s="22">
        <v>1772.5000000000002</v>
      </c>
      <c r="P124" s="22">
        <v>0</v>
      </c>
      <c r="Q124" s="21">
        <f>K124+N124</f>
        <v>1477.5</v>
      </c>
      <c r="R124" s="21">
        <f>G124+H124+I124+J124+K124+N124+P124</f>
        <v>1502.5</v>
      </c>
      <c r="S124" s="21">
        <f>L124+M124+O124</f>
        <v>3872.5</v>
      </c>
      <c r="T124" s="21">
        <f>F124-R124</f>
        <v>23497.5</v>
      </c>
      <c r="U124" s="24" t="s">
        <v>30</v>
      </c>
    </row>
    <row r="125" spans="1:21" ht="15.75" customHeight="1">
      <c r="A125" s="23">
        <v>110</v>
      </c>
      <c r="B125" s="23" t="s">
        <v>188</v>
      </c>
      <c r="C125" s="23" t="s">
        <v>77</v>
      </c>
      <c r="D125" s="23" t="s">
        <v>78</v>
      </c>
      <c r="E125" s="24" t="s">
        <v>29</v>
      </c>
      <c r="F125" s="21">
        <v>10000</v>
      </c>
      <c r="G125" s="22">
        <v>0</v>
      </c>
      <c r="H125" s="22">
        <v>25</v>
      </c>
      <c r="I125" s="22">
        <v>0</v>
      </c>
      <c r="J125" s="22">
        <v>0</v>
      </c>
      <c r="K125" s="22">
        <f>F125*2.87%</f>
        <v>287</v>
      </c>
      <c r="L125" s="22">
        <f>F125*7.1%</f>
        <v>709.99999999999989</v>
      </c>
      <c r="M125" s="22">
        <v>130</v>
      </c>
      <c r="N125" s="22">
        <v>304</v>
      </c>
      <c r="O125" s="22">
        <v>709</v>
      </c>
      <c r="P125" s="22">
        <v>0</v>
      </c>
      <c r="Q125" s="21">
        <f>K125+N125</f>
        <v>591</v>
      </c>
      <c r="R125" s="21">
        <f>G125+H125+I125+J125+K125+N125+P125</f>
        <v>616</v>
      </c>
      <c r="S125" s="21">
        <f>L125+M125+O125</f>
        <v>1549</v>
      </c>
      <c r="T125" s="21">
        <f>F125-R125</f>
        <v>9384</v>
      </c>
      <c r="U125" s="24" t="s">
        <v>30</v>
      </c>
    </row>
    <row r="126" spans="1:21" ht="15.75" customHeight="1">
      <c r="A126" s="23">
        <v>111</v>
      </c>
      <c r="B126" s="23" t="s">
        <v>189</v>
      </c>
      <c r="C126" s="23" t="s">
        <v>60</v>
      </c>
      <c r="D126" s="23" t="s">
        <v>61</v>
      </c>
      <c r="E126" s="24" t="s">
        <v>29</v>
      </c>
      <c r="F126" s="21">
        <v>25000</v>
      </c>
      <c r="G126" s="22">
        <v>0</v>
      </c>
      <c r="H126" s="22">
        <v>25</v>
      </c>
      <c r="I126" s="22">
        <v>0</v>
      </c>
      <c r="J126" s="22">
        <v>0</v>
      </c>
      <c r="K126" s="22">
        <f>F126*2.87%</f>
        <v>717.5</v>
      </c>
      <c r="L126" s="22">
        <f>F126*7.1%</f>
        <v>1774.9999999999998</v>
      </c>
      <c r="M126" s="22">
        <v>325</v>
      </c>
      <c r="N126" s="22">
        <v>760</v>
      </c>
      <c r="O126" s="22">
        <v>1772.5000000000002</v>
      </c>
      <c r="P126" s="22">
        <v>0</v>
      </c>
      <c r="Q126" s="21">
        <f>K126+N126</f>
        <v>1477.5</v>
      </c>
      <c r="R126" s="21">
        <f>G126+H126+I126+J126+K126+N126+P126</f>
        <v>1502.5</v>
      </c>
      <c r="S126" s="21">
        <f>L126+M126+O126</f>
        <v>3872.5</v>
      </c>
      <c r="T126" s="21">
        <f>F126-R126</f>
        <v>23497.5</v>
      </c>
      <c r="U126" s="24" t="s">
        <v>30</v>
      </c>
    </row>
    <row r="127" spans="1:21" ht="15.75" customHeight="1">
      <c r="A127" s="19">
        <v>112</v>
      </c>
      <c r="B127" s="23" t="s">
        <v>190</v>
      </c>
      <c r="C127" s="23" t="s">
        <v>68</v>
      </c>
      <c r="D127" s="23" t="s">
        <v>58</v>
      </c>
      <c r="E127" s="24" t="s">
        <v>29</v>
      </c>
      <c r="F127" s="21">
        <v>15000</v>
      </c>
      <c r="G127" s="22">
        <v>0</v>
      </c>
      <c r="H127" s="22">
        <v>25</v>
      </c>
      <c r="I127" s="22">
        <v>0</v>
      </c>
      <c r="J127" s="22">
        <v>0</v>
      </c>
      <c r="K127" s="22">
        <f>F127*2.87%</f>
        <v>430.5</v>
      </c>
      <c r="L127" s="22">
        <f>F127*7.1%</f>
        <v>1065</v>
      </c>
      <c r="M127" s="22">
        <v>195</v>
      </c>
      <c r="N127" s="22">
        <v>456</v>
      </c>
      <c r="O127" s="22">
        <v>1063.5</v>
      </c>
      <c r="P127" s="22">
        <v>0</v>
      </c>
      <c r="Q127" s="21">
        <f>K127+N127</f>
        <v>886.5</v>
      </c>
      <c r="R127" s="21">
        <f>G127+H127+I127+J127+K127+N127+P127</f>
        <v>911.5</v>
      </c>
      <c r="S127" s="21">
        <f>L127+M127+O127</f>
        <v>2323.5</v>
      </c>
      <c r="T127" s="21">
        <f>F127-R127</f>
        <v>14088.5</v>
      </c>
      <c r="U127" s="24" t="s">
        <v>36</v>
      </c>
    </row>
    <row r="128" spans="1:21" ht="15.75" customHeight="1">
      <c r="A128" s="23">
        <v>113</v>
      </c>
      <c r="B128" s="23" t="s">
        <v>191</v>
      </c>
      <c r="C128" s="23" t="s">
        <v>68</v>
      </c>
      <c r="D128" s="23" t="s">
        <v>72</v>
      </c>
      <c r="E128" s="24" t="s">
        <v>29</v>
      </c>
      <c r="F128" s="21">
        <v>16500</v>
      </c>
      <c r="G128" s="22">
        <v>0</v>
      </c>
      <c r="H128" s="22">
        <v>25</v>
      </c>
      <c r="I128" s="22">
        <v>0</v>
      </c>
      <c r="J128" s="22">
        <f>1000+300+5434.42</f>
        <v>6734.42</v>
      </c>
      <c r="K128" s="22">
        <f>F128*2.87%</f>
        <v>473.55</v>
      </c>
      <c r="L128" s="22">
        <f>F128*7.1%</f>
        <v>1171.5</v>
      </c>
      <c r="M128" s="22">
        <v>214.5</v>
      </c>
      <c r="N128" s="22">
        <v>501.6</v>
      </c>
      <c r="O128" s="22">
        <v>1169.8500000000001</v>
      </c>
      <c r="P128" s="22">
        <v>0</v>
      </c>
      <c r="Q128" s="21">
        <f>K128+N128</f>
        <v>975.15000000000009</v>
      </c>
      <c r="R128" s="21">
        <f>G128+H128+I128+J128+K128+N128+P128</f>
        <v>7734.5700000000006</v>
      </c>
      <c r="S128" s="21">
        <f>L128+M128+O128</f>
        <v>2555.8500000000004</v>
      </c>
      <c r="T128" s="21">
        <f>F128-R128</f>
        <v>8765.43</v>
      </c>
      <c r="U128" s="24" t="s">
        <v>30</v>
      </c>
    </row>
    <row r="129" spans="1:21" ht="15.75" customHeight="1">
      <c r="A129" s="23">
        <v>114</v>
      </c>
      <c r="B129" s="23" t="s">
        <v>750</v>
      </c>
      <c r="C129" s="23" t="s">
        <v>68</v>
      </c>
      <c r="D129" s="23" t="s">
        <v>41</v>
      </c>
      <c r="E129" s="24" t="s">
        <v>29</v>
      </c>
      <c r="F129" s="21">
        <v>26000</v>
      </c>
      <c r="G129" s="22">
        <v>0</v>
      </c>
      <c r="H129" s="22">
        <v>25</v>
      </c>
      <c r="I129" s="22">
        <v>0</v>
      </c>
      <c r="J129" s="22">
        <v>0</v>
      </c>
      <c r="K129" s="22">
        <f>F129*2.87%</f>
        <v>746.2</v>
      </c>
      <c r="L129" s="22">
        <f>F129*7.1%</f>
        <v>1845.9999999999998</v>
      </c>
      <c r="M129" s="22">
        <v>338</v>
      </c>
      <c r="N129" s="22">
        <v>790.4</v>
      </c>
      <c r="O129" s="22">
        <v>1843.4</v>
      </c>
      <c r="P129" s="22">
        <v>0</v>
      </c>
      <c r="Q129" s="21">
        <f>K129+N129</f>
        <v>1536.6</v>
      </c>
      <c r="R129" s="21">
        <f>G129+H129+I129+J129+K129+N129+P129</f>
        <v>1561.6</v>
      </c>
      <c r="S129" s="21">
        <f>L129+M129+O129</f>
        <v>4027.4</v>
      </c>
      <c r="T129" s="21">
        <f>F129-R129</f>
        <v>24438.400000000001</v>
      </c>
      <c r="U129" s="24" t="s">
        <v>30</v>
      </c>
    </row>
    <row r="130" spans="1:21" ht="15.75" customHeight="1">
      <c r="A130" s="19">
        <v>115</v>
      </c>
      <c r="B130" s="23" t="s">
        <v>192</v>
      </c>
      <c r="C130" s="23" t="s">
        <v>77</v>
      </c>
      <c r="D130" s="23" t="s">
        <v>61</v>
      </c>
      <c r="E130" s="24" t="s">
        <v>29</v>
      </c>
      <c r="F130" s="21">
        <v>15000</v>
      </c>
      <c r="G130" s="22">
        <v>0</v>
      </c>
      <c r="H130" s="22">
        <v>25</v>
      </c>
      <c r="I130" s="22">
        <v>0</v>
      </c>
      <c r="J130" s="22">
        <v>0</v>
      </c>
      <c r="K130" s="22">
        <f>F130*2.87%</f>
        <v>430.5</v>
      </c>
      <c r="L130" s="22">
        <f>F130*7.1%</f>
        <v>1065</v>
      </c>
      <c r="M130" s="22">
        <v>195</v>
      </c>
      <c r="N130" s="22">
        <v>456</v>
      </c>
      <c r="O130" s="22">
        <v>1063.5</v>
      </c>
      <c r="P130" s="22">
        <v>0</v>
      </c>
      <c r="Q130" s="21">
        <f>K130+N130</f>
        <v>886.5</v>
      </c>
      <c r="R130" s="21">
        <f>G130+H130+I130+J130+K130+N130+P130</f>
        <v>911.5</v>
      </c>
      <c r="S130" s="21">
        <f>L130+M130+O130</f>
        <v>2323.5</v>
      </c>
      <c r="T130" s="21">
        <f>F130-R130</f>
        <v>14088.5</v>
      </c>
      <c r="U130" s="24" t="s">
        <v>30</v>
      </c>
    </row>
    <row r="131" spans="1:21" ht="15.75" customHeight="1">
      <c r="A131" s="23">
        <v>116</v>
      </c>
      <c r="B131" s="23" t="s">
        <v>193</v>
      </c>
      <c r="C131" s="23" t="s">
        <v>48</v>
      </c>
      <c r="D131" s="23" t="s">
        <v>72</v>
      </c>
      <c r="E131" s="24" t="s">
        <v>29</v>
      </c>
      <c r="F131" s="21">
        <v>25000</v>
      </c>
      <c r="G131" s="22">
        <v>0</v>
      </c>
      <c r="H131" s="22">
        <v>25</v>
      </c>
      <c r="I131" s="22">
        <v>0</v>
      </c>
      <c r="J131" s="22">
        <v>0</v>
      </c>
      <c r="K131" s="22">
        <f>F131*2.87%</f>
        <v>717.5</v>
      </c>
      <c r="L131" s="22">
        <f>F131*7.1%</f>
        <v>1774.9999999999998</v>
      </c>
      <c r="M131" s="22">
        <v>325</v>
      </c>
      <c r="N131" s="22">
        <v>760</v>
      </c>
      <c r="O131" s="22">
        <v>1772.5000000000002</v>
      </c>
      <c r="P131" s="22">
        <v>0</v>
      </c>
      <c r="Q131" s="21">
        <f>K131+N131</f>
        <v>1477.5</v>
      </c>
      <c r="R131" s="21">
        <f>G131+H131+I131+J131+K131+N131+P131</f>
        <v>1502.5</v>
      </c>
      <c r="S131" s="21">
        <f>L131+M131+O131</f>
        <v>3872.5</v>
      </c>
      <c r="T131" s="21">
        <f>F131-R131</f>
        <v>23497.5</v>
      </c>
      <c r="U131" s="24" t="s">
        <v>36</v>
      </c>
    </row>
    <row r="132" spans="1:21" ht="15.75" customHeight="1">
      <c r="A132" s="23">
        <v>117</v>
      </c>
      <c r="B132" s="23" t="s">
        <v>194</v>
      </c>
      <c r="C132" s="23" t="s">
        <v>195</v>
      </c>
      <c r="D132" s="23" t="s">
        <v>72</v>
      </c>
      <c r="E132" s="24" t="s">
        <v>29</v>
      </c>
      <c r="F132" s="21">
        <v>20000</v>
      </c>
      <c r="G132" s="22">
        <v>0</v>
      </c>
      <c r="H132" s="22">
        <v>25</v>
      </c>
      <c r="I132" s="22">
        <v>0</v>
      </c>
      <c r="J132" s="22">
        <v>0</v>
      </c>
      <c r="K132" s="22">
        <f>F132*2.87%</f>
        <v>574</v>
      </c>
      <c r="L132" s="22">
        <f>F132*7.1%</f>
        <v>1419.9999999999998</v>
      </c>
      <c r="M132" s="22">
        <v>260</v>
      </c>
      <c r="N132" s="22">
        <v>608</v>
      </c>
      <c r="O132" s="22">
        <v>1418</v>
      </c>
      <c r="P132" s="22">
        <v>0</v>
      </c>
      <c r="Q132" s="21">
        <f>K132+N132</f>
        <v>1182</v>
      </c>
      <c r="R132" s="21">
        <f>G132+H132+I132+J132+K132+N132+P132</f>
        <v>1207</v>
      </c>
      <c r="S132" s="21">
        <f>L132+M132+O132</f>
        <v>3098</v>
      </c>
      <c r="T132" s="21">
        <f>F132-R132</f>
        <v>18793</v>
      </c>
      <c r="U132" s="24" t="s">
        <v>36</v>
      </c>
    </row>
    <row r="133" spans="1:21" ht="15.75" customHeight="1">
      <c r="A133" s="19">
        <v>118</v>
      </c>
      <c r="B133" s="23" t="s">
        <v>196</v>
      </c>
      <c r="C133" s="23" t="s">
        <v>57</v>
      </c>
      <c r="D133" s="23" t="s">
        <v>58</v>
      </c>
      <c r="E133" s="24" t="s">
        <v>29</v>
      </c>
      <c r="F133" s="21">
        <v>14981.85</v>
      </c>
      <c r="G133" s="22">
        <v>0</v>
      </c>
      <c r="H133" s="22">
        <v>25</v>
      </c>
      <c r="I133" s="22">
        <v>0</v>
      </c>
      <c r="J133" s="22">
        <v>0</v>
      </c>
      <c r="K133" s="22">
        <f>F133*2.87%</f>
        <v>429.97909500000003</v>
      </c>
      <c r="L133" s="22">
        <f>F133*7.1%</f>
        <v>1063.71135</v>
      </c>
      <c r="M133" s="22">
        <v>194.76</v>
      </c>
      <c r="N133" s="22">
        <v>455.44824</v>
      </c>
      <c r="O133" s="22">
        <v>1062.2131650000001</v>
      </c>
      <c r="P133" s="22">
        <v>0</v>
      </c>
      <c r="Q133" s="21">
        <f>K133+N133</f>
        <v>885.42733500000008</v>
      </c>
      <c r="R133" s="21">
        <f>G133+H133+I133+J133+K133+N133+P133</f>
        <v>910.42733500000008</v>
      </c>
      <c r="S133" s="21">
        <f>L133+M133+O133</f>
        <v>2320.6845149999999</v>
      </c>
      <c r="T133" s="21">
        <f>F133-R133</f>
        <v>14071.422665</v>
      </c>
      <c r="U133" s="24" t="s">
        <v>36</v>
      </c>
    </row>
    <row r="134" spans="1:21" ht="15.75" customHeight="1">
      <c r="A134" s="23">
        <v>119</v>
      </c>
      <c r="B134" s="23" t="s">
        <v>197</v>
      </c>
      <c r="C134" s="23" t="s">
        <v>71</v>
      </c>
      <c r="D134" s="23" t="s">
        <v>72</v>
      </c>
      <c r="E134" s="24" t="s">
        <v>29</v>
      </c>
      <c r="F134" s="21">
        <v>22000</v>
      </c>
      <c r="G134" s="22">
        <v>0</v>
      </c>
      <c r="H134" s="22">
        <v>25</v>
      </c>
      <c r="I134" s="22">
        <v>0</v>
      </c>
      <c r="J134" s="22">
        <v>0</v>
      </c>
      <c r="K134" s="22">
        <f>F134*2.87%</f>
        <v>631.4</v>
      </c>
      <c r="L134" s="22">
        <f>F134*7.1%</f>
        <v>1561.9999999999998</v>
      </c>
      <c r="M134" s="22">
        <v>286</v>
      </c>
      <c r="N134" s="22">
        <v>668.8</v>
      </c>
      <c r="O134" s="22">
        <v>1559.8000000000002</v>
      </c>
      <c r="P134" s="22">
        <v>0</v>
      </c>
      <c r="Q134" s="21">
        <f>K134+N134</f>
        <v>1300.1999999999998</v>
      </c>
      <c r="R134" s="21">
        <f>G134+H134+I134+J134+K134+N134+P134</f>
        <v>1325.1999999999998</v>
      </c>
      <c r="S134" s="21">
        <f>L134+M134+O134</f>
        <v>3407.8</v>
      </c>
      <c r="T134" s="21">
        <f>F134-R134</f>
        <v>20674.8</v>
      </c>
      <c r="U134" s="24" t="s">
        <v>36</v>
      </c>
    </row>
    <row r="135" spans="1:21" ht="15.75" customHeight="1">
      <c r="A135" s="23">
        <v>120</v>
      </c>
      <c r="B135" s="23" t="s">
        <v>198</v>
      </c>
      <c r="C135" s="23" t="s">
        <v>63</v>
      </c>
      <c r="D135" s="23" t="s">
        <v>98</v>
      </c>
      <c r="E135" s="24" t="s">
        <v>29</v>
      </c>
      <c r="F135" s="21">
        <v>30000</v>
      </c>
      <c r="G135" s="22">
        <v>0</v>
      </c>
      <c r="H135" s="22">
        <v>25</v>
      </c>
      <c r="I135" s="22">
        <v>0</v>
      </c>
      <c r="J135" s="22">
        <f>1700+300</f>
        <v>2000</v>
      </c>
      <c r="K135" s="22">
        <f>F135*2.87%</f>
        <v>861</v>
      </c>
      <c r="L135" s="22">
        <f>F135*7.1%</f>
        <v>2130</v>
      </c>
      <c r="M135" s="22">
        <v>390</v>
      </c>
      <c r="N135" s="22">
        <v>912</v>
      </c>
      <c r="O135" s="22">
        <v>2127</v>
      </c>
      <c r="P135" s="22">
        <v>0</v>
      </c>
      <c r="Q135" s="21">
        <f>K135+N135</f>
        <v>1773</v>
      </c>
      <c r="R135" s="21">
        <f>G135+H135+I135+J135+K135+N135+P135</f>
        <v>3798</v>
      </c>
      <c r="S135" s="21">
        <f>L135+M135+O135</f>
        <v>4647</v>
      </c>
      <c r="T135" s="21">
        <f>F135-R135</f>
        <v>26202</v>
      </c>
      <c r="U135" s="24" t="s">
        <v>30</v>
      </c>
    </row>
    <row r="136" spans="1:21" ht="15.75" customHeight="1">
      <c r="A136" s="19">
        <v>121</v>
      </c>
      <c r="B136" s="23" t="s">
        <v>199</v>
      </c>
      <c r="C136" s="23" t="s">
        <v>94</v>
      </c>
      <c r="D136" s="23" t="s">
        <v>55</v>
      </c>
      <c r="E136" s="24" t="s">
        <v>29</v>
      </c>
      <c r="F136" s="21">
        <v>25000</v>
      </c>
      <c r="G136" s="22">
        <v>0</v>
      </c>
      <c r="H136" s="22">
        <v>25</v>
      </c>
      <c r="I136" s="22">
        <v>0</v>
      </c>
      <c r="J136" s="22">
        <v>0</v>
      </c>
      <c r="K136" s="22">
        <f>F136*2.87%</f>
        <v>717.5</v>
      </c>
      <c r="L136" s="22">
        <f>F136*7.1%</f>
        <v>1774.9999999999998</v>
      </c>
      <c r="M136" s="22">
        <v>325</v>
      </c>
      <c r="N136" s="22">
        <v>760</v>
      </c>
      <c r="O136" s="22">
        <v>1772.5000000000002</v>
      </c>
      <c r="P136" s="22">
        <v>0</v>
      </c>
      <c r="Q136" s="21">
        <f>K136+N136</f>
        <v>1477.5</v>
      </c>
      <c r="R136" s="21">
        <f>G136+H136+I136+J136+K136+N136+P136</f>
        <v>1502.5</v>
      </c>
      <c r="S136" s="21">
        <f>L136+M136+O136</f>
        <v>3872.5</v>
      </c>
      <c r="T136" s="21">
        <f>F136-R136</f>
        <v>23497.5</v>
      </c>
      <c r="U136" s="24" t="s">
        <v>30</v>
      </c>
    </row>
    <row r="137" spans="1:21" ht="15.75" customHeight="1">
      <c r="A137" s="23">
        <v>122</v>
      </c>
      <c r="B137" s="23" t="s">
        <v>200</v>
      </c>
      <c r="C137" s="23" t="s">
        <v>201</v>
      </c>
      <c r="D137" s="23" t="s">
        <v>72</v>
      </c>
      <c r="E137" s="24" t="s">
        <v>29</v>
      </c>
      <c r="F137" s="21">
        <v>20000</v>
      </c>
      <c r="G137" s="22">
        <v>0</v>
      </c>
      <c r="H137" s="22">
        <v>25</v>
      </c>
      <c r="I137" s="22">
        <v>0</v>
      </c>
      <c r="J137" s="22">
        <v>0</v>
      </c>
      <c r="K137" s="22">
        <f>F137*2.87%</f>
        <v>574</v>
      </c>
      <c r="L137" s="22">
        <f>F137*7.1%</f>
        <v>1419.9999999999998</v>
      </c>
      <c r="M137" s="22">
        <v>260</v>
      </c>
      <c r="N137" s="22">
        <v>608</v>
      </c>
      <c r="O137" s="22">
        <v>1418</v>
      </c>
      <c r="P137" s="22">
        <v>0</v>
      </c>
      <c r="Q137" s="21">
        <f>K137+N137</f>
        <v>1182</v>
      </c>
      <c r="R137" s="21">
        <f>G137+H137+I137+J137+K137+N137+P137</f>
        <v>1207</v>
      </c>
      <c r="S137" s="21">
        <f>L137+M137+O137</f>
        <v>3098</v>
      </c>
      <c r="T137" s="21">
        <f>F137-R137</f>
        <v>18793</v>
      </c>
      <c r="U137" s="24" t="s">
        <v>30</v>
      </c>
    </row>
    <row r="138" spans="1:21" ht="15.75" customHeight="1">
      <c r="A138" s="23">
        <v>123</v>
      </c>
      <c r="B138" s="23" t="s">
        <v>202</v>
      </c>
      <c r="C138" s="23" t="s">
        <v>77</v>
      </c>
      <c r="D138" s="23" t="s">
        <v>64</v>
      </c>
      <c r="E138" s="24" t="s">
        <v>29</v>
      </c>
      <c r="F138" s="21">
        <v>10000</v>
      </c>
      <c r="G138" s="22">
        <v>0</v>
      </c>
      <c r="H138" s="22">
        <v>25</v>
      </c>
      <c r="I138" s="22">
        <v>0</v>
      </c>
      <c r="J138" s="22">
        <v>0</v>
      </c>
      <c r="K138" s="22">
        <f>F138*2.87%</f>
        <v>287</v>
      </c>
      <c r="L138" s="22">
        <f>F138*7.1%</f>
        <v>709.99999999999989</v>
      </c>
      <c r="M138" s="22">
        <v>130</v>
      </c>
      <c r="N138" s="22">
        <v>304</v>
      </c>
      <c r="O138" s="22">
        <v>709</v>
      </c>
      <c r="P138" s="22">
        <v>0</v>
      </c>
      <c r="Q138" s="21">
        <f>K138+N138</f>
        <v>591</v>
      </c>
      <c r="R138" s="21">
        <f>G138+H138+I138+J138+K138+N138+P138</f>
        <v>616</v>
      </c>
      <c r="S138" s="21">
        <f>L138+M138+O138</f>
        <v>1549</v>
      </c>
      <c r="T138" s="21">
        <f>F138-R138</f>
        <v>9384</v>
      </c>
      <c r="U138" s="24" t="s">
        <v>36</v>
      </c>
    </row>
    <row r="139" spans="1:21" ht="15.75" customHeight="1">
      <c r="A139" s="19">
        <v>124</v>
      </c>
      <c r="B139" s="23" t="s">
        <v>203</v>
      </c>
      <c r="C139" s="23" t="s">
        <v>71</v>
      </c>
      <c r="D139" s="23" t="s">
        <v>72</v>
      </c>
      <c r="E139" s="24" t="s">
        <v>29</v>
      </c>
      <c r="F139" s="21">
        <v>15000</v>
      </c>
      <c r="G139" s="22">
        <v>0</v>
      </c>
      <c r="H139" s="22">
        <v>25</v>
      </c>
      <c r="I139" s="22">
        <v>0</v>
      </c>
      <c r="J139" s="22">
        <f>1000+300</f>
        <v>1300</v>
      </c>
      <c r="K139" s="22">
        <f>F139*2.87%</f>
        <v>430.5</v>
      </c>
      <c r="L139" s="22">
        <f>F139*7.1%</f>
        <v>1065</v>
      </c>
      <c r="M139" s="22">
        <v>195</v>
      </c>
      <c r="N139" s="22">
        <v>456</v>
      </c>
      <c r="O139" s="22">
        <v>1063.5</v>
      </c>
      <c r="P139" s="22">
        <v>0</v>
      </c>
      <c r="Q139" s="21">
        <f>K139+N139</f>
        <v>886.5</v>
      </c>
      <c r="R139" s="21">
        <f>G139+H139+I139+J139+K139+N139+P139</f>
        <v>2211.5</v>
      </c>
      <c r="S139" s="21">
        <f>L139+M139+O139</f>
        <v>2323.5</v>
      </c>
      <c r="T139" s="21">
        <f>F139-R139</f>
        <v>12788.5</v>
      </c>
      <c r="U139" s="24" t="s">
        <v>36</v>
      </c>
    </row>
    <row r="140" spans="1:21" ht="15.75" customHeight="1">
      <c r="A140" s="23">
        <v>125</v>
      </c>
      <c r="B140" s="23" t="s">
        <v>204</v>
      </c>
      <c r="C140" s="23" t="s">
        <v>48</v>
      </c>
      <c r="D140" s="23" t="s">
        <v>61</v>
      </c>
      <c r="E140" s="24" t="s">
        <v>29</v>
      </c>
      <c r="F140" s="21">
        <v>30000</v>
      </c>
      <c r="G140" s="22">
        <v>0</v>
      </c>
      <c r="H140" s="22">
        <v>25</v>
      </c>
      <c r="I140" s="22">
        <v>0</v>
      </c>
      <c r="J140" s="22">
        <v>0</v>
      </c>
      <c r="K140" s="22">
        <f>F140*2.87%</f>
        <v>861</v>
      </c>
      <c r="L140" s="22">
        <f>F140*7.1%</f>
        <v>2130</v>
      </c>
      <c r="M140" s="22">
        <v>390</v>
      </c>
      <c r="N140" s="22">
        <v>912</v>
      </c>
      <c r="O140" s="22">
        <v>2127</v>
      </c>
      <c r="P140" s="22">
        <v>0</v>
      </c>
      <c r="Q140" s="21">
        <f>K140+N140</f>
        <v>1773</v>
      </c>
      <c r="R140" s="21">
        <f>G140+H140+I140+J140+K140+N140+P140</f>
        <v>1798</v>
      </c>
      <c r="S140" s="21">
        <f>L140+M140+O140</f>
        <v>4647</v>
      </c>
      <c r="T140" s="21">
        <f>F140-R140</f>
        <v>28202</v>
      </c>
      <c r="U140" s="24" t="s">
        <v>36</v>
      </c>
    </row>
    <row r="141" spans="1:21" ht="15.75" customHeight="1">
      <c r="A141" s="23">
        <v>126</v>
      </c>
      <c r="B141" s="23" t="s">
        <v>205</v>
      </c>
      <c r="C141" s="23" t="s">
        <v>68</v>
      </c>
      <c r="D141" s="23" t="s">
        <v>69</v>
      </c>
      <c r="E141" s="24" t="s">
        <v>29</v>
      </c>
      <c r="F141" s="21">
        <v>15000</v>
      </c>
      <c r="G141" s="22">
        <v>0</v>
      </c>
      <c r="H141" s="22">
        <v>25</v>
      </c>
      <c r="I141" s="22">
        <v>0</v>
      </c>
      <c r="J141" s="22">
        <f>2000+300+4501.75+1063.6</f>
        <v>7865.35</v>
      </c>
      <c r="K141" s="22">
        <f>F141*2.87%</f>
        <v>430.5</v>
      </c>
      <c r="L141" s="22">
        <f>F141*7.1%</f>
        <v>1065</v>
      </c>
      <c r="M141" s="22">
        <v>195</v>
      </c>
      <c r="N141" s="22">
        <v>456</v>
      </c>
      <c r="O141" s="22">
        <v>1063.5</v>
      </c>
      <c r="P141" s="22">
        <v>0</v>
      </c>
      <c r="Q141" s="21">
        <f>K141+N141</f>
        <v>886.5</v>
      </c>
      <c r="R141" s="21">
        <f>G141+H141+I141+J141+K141+N141+P141</f>
        <v>8776.85</v>
      </c>
      <c r="S141" s="21">
        <f>L141+M141+O141</f>
        <v>2323.5</v>
      </c>
      <c r="T141" s="21">
        <f>F141-R141</f>
        <v>6223.15</v>
      </c>
      <c r="U141" s="24" t="s">
        <v>36</v>
      </c>
    </row>
    <row r="142" spans="1:21" ht="15.75" customHeight="1">
      <c r="A142" s="19">
        <v>127</v>
      </c>
      <c r="B142" s="23" t="s">
        <v>206</v>
      </c>
      <c r="C142" s="23" t="s">
        <v>77</v>
      </c>
      <c r="D142" s="23" t="s">
        <v>78</v>
      </c>
      <c r="E142" s="24" t="s">
        <v>29</v>
      </c>
      <c r="F142" s="21">
        <v>10000</v>
      </c>
      <c r="G142" s="22">
        <v>0</v>
      </c>
      <c r="H142" s="22">
        <v>25</v>
      </c>
      <c r="I142" s="22">
        <v>0</v>
      </c>
      <c r="J142" s="22">
        <v>0</v>
      </c>
      <c r="K142" s="22">
        <f>F142*2.87%</f>
        <v>287</v>
      </c>
      <c r="L142" s="22">
        <f>F142*7.1%</f>
        <v>709.99999999999989</v>
      </c>
      <c r="M142" s="22">
        <v>130</v>
      </c>
      <c r="N142" s="22">
        <v>304</v>
      </c>
      <c r="O142" s="22">
        <v>709</v>
      </c>
      <c r="P142" s="22">
        <v>0</v>
      </c>
      <c r="Q142" s="21">
        <f>K142+N142</f>
        <v>591</v>
      </c>
      <c r="R142" s="21">
        <f>G142+H142+I142+J142+K142+N142+P142</f>
        <v>616</v>
      </c>
      <c r="S142" s="21">
        <f>L142+M142+O142</f>
        <v>1549</v>
      </c>
      <c r="T142" s="21">
        <f>F142-R142</f>
        <v>9384</v>
      </c>
      <c r="U142" s="24" t="s">
        <v>30</v>
      </c>
    </row>
    <row r="143" spans="1:21" ht="15.75" customHeight="1">
      <c r="A143" s="23">
        <v>128</v>
      </c>
      <c r="B143" s="23" t="s">
        <v>207</v>
      </c>
      <c r="C143" s="23" t="s">
        <v>66</v>
      </c>
      <c r="D143" s="23" t="s">
        <v>61</v>
      </c>
      <c r="E143" s="24" t="s">
        <v>29</v>
      </c>
      <c r="F143" s="21">
        <v>35000</v>
      </c>
      <c r="G143" s="22">
        <v>0</v>
      </c>
      <c r="H143" s="22">
        <v>25</v>
      </c>
      <c r="I143" s="22">
        <v>0</v>
      </c>
      <c r="J143" s="22">
        <v>0</v>
      </c>
      <c r="K143" s="22">
        <f>F143*2.87%</f>
        <v>1004.5</v>
      </c>
      <c r="L143" s="22">
        <f>F143*7.1%</f>
        <v>2485</v>
      </c>
      <c r="M143" s="22">
        <v>455</v>
      </c>
      <c r="N143" s="22">
        <v>1064</v>
      </c>
      <c r="O143" s="22">
        <v>2481.5</v>
      </c>
      <c r="P143" s="22">
        <v>0</v>
      </c>
      <c r="Q143" s="21">
        <f>K143+N143</f>
        <v>2068.5</v>
      </c>
      <c r="R143" s="21">
        <f>G143+H143+I143+J143+K143+N143+P143</f>
        <v>2093.5</v>
      </c>
      <c r="S143" s="21">
        <f>L143+M143+O143</f>
        <v>5421.5</v>
      </c>
      <c r="T143" s="21">
        <f>F143-R143</f>
        <v>32906.5</v>
      </c>
      <c r="U143" s="24" t="s">
        <v>30</v>
      </c>
    </row>
    <row r="144" spans="1:21" ht="15.75" customHeight="1">
      <c r="A144" s="23">
        <v>129</v>
      </c>
      <c r="B144" s="23" t="s">
        <v>208</v>
      </c>
      <c r="C144" s="23" t="s">
        <v>71</v>
      </c>
      <c r="D144" s="23" t="s">
        <v>72</v>
      </c>
      <c r="E144" s="24" t="s">
        <v>29</v>
      </c>
      <c r="F144" s="21">
        <v>20000</v>
      </c>
      <c r="G144" s="22">
        <v>0</v>
      </c>
      <c r="H144" s="22">
        <v>25</v>
      </c>
      <c r="I144" s="22">
        <v>0</v>
      </c>
      <c r="J144" s="22">
        <v>0</v>
      </c>
      <c r="K144" s="22">
        <f>F144*2.87%</f>
        <v>574</v>
      </c>
      <c r="L144" s="22">
        <f>F144*7.1%</f>
        <v>1419.9999999999998</v>
      </c>
      <c r="M144" s="22">
        <v>260</v>
      </c>
      <c r="N144" s="22">
        <v>608</v>
      </c>
      <c r="O144" s="22">
        <v>1418</v>
      </c>
      <c r="P144" s="22">
        <v>0</v>
      </c>
      <c r="Q144" s="21">
        <f>K144+N144</f>
        <v>1182</v>
      </c>
      <c r="R144" s="21">
        <f>G144+H144+I144+J144+K144+N144+P144</f>
        <v>1207</v>
      </c>
      <c r="S144" s="21">
        <f>L144+M144+O144</f>
        <v>3098</v>
      </c>
      <c r="T144" s="21">
        <f>F144-R144</f>
        <v>18793</v>
      </c>
      <c r="U144" s="24" t="s">
        <v>36</v>
      </c>
    </row>
    <row r="145" spans="1:21" ht="15.75" customHeight="1">
      <c r="A145" s="19">
        <v>130</v>
      </c>
      <c r="B145" s="23" t="s">
        <v>209</v>
      </c>
      <c r="C145" s="23" t="s">
        <v>68</v>
      </c>
      <c r="D145" s="23" t="s">
        <v>86</v>
      </c>
      <c r="E145" s="24" t="s">
        <v>29</v>
      </c>
      <c r="F145" s="21">
        <v>20000</v>
      </c>
      <c r="G145" s="22">
        <v>0</v>
      </c>
      <c r="H145" s="22">
        <v>25</v>
      </c>
      <c r="I145" s="22">
        <v>0</v>
      </c>
      <c r="J145" s="22">
        <v>0</v>
      </c>
      <c r="K145" s="22">
        <f>F145*2.87%</f>
        <v>574</v>
      </c>
      <c r="L145" s="22">
        <f>F145*7.1%</f>
        <v>1419.9999999999998</v>
      </c>
      <c r="M145" s="22">
        <v>260</v>
      </c>
      <c r="N145" s="22">
        <v>608</v>
      </c>
      <c r="O145" s="22">
        <v>1418</v>
      </c>
      <c r="P145" s="22">
        <v>0</v>
      </c>
      <c r="Q145" s="21">
        <f>K145+N145</f>
        <v>1182</v>
      </c>
      <c r="R145" s="21">
        <f>G145+H145+I145+J145+K145+N145+P145</f>
        <v>1207</v>
      </c>
      <c r="S145" s="21">
        <f>L145+M145+O145</f>
        <v>3098</v>
      </c>
      <c r="T145" s="21">
        <f>F145-R145</f>
        <v>18793</v>
      </c>
      <c r="U145" s="24" t="s">
        <v>36</v>
      </c>
    </row>
    <row r="146" spans="1:21" ht="15.75" customHeight="1">
      <c r="A146" s="23">
        <v>131</v>
      </c>
      <c r="B146" s="23" t="s">
        <v>210</v>
      </c>
      <c r="C146" s="23" t="s">
        <v>48</v>
      </c>
      <c r="D146" s="23" t="s">
        <v>86</v>
      </c>
      <c r="E146" s="24" t="s">
        <v>29</v>
      </c>
      <c r="F146" s="21">
        <v>35000</v>
      </c>
      <c r="G146" s="22">
        <v>0</v>
      </c>
      <c r="H146" s="22">
        <v>25</v>
      </c>
      <c r="I146" s="22">
        <v>0</v>
      </c>
      <c r="J146" s="22">
        <v>0</v>
      </c>
      <c r="K146" s="22">
        <f>F146*2.87%</f>
        <v>1004.5</v>
      </c>
      <c r="L146" s="22">
        <f>F146*7.1%</f>
        <v>2485</v>
      </c>
      <c r="M146" s="22">
        <v>455</v>
      </c>
      <c r="N146" s="22">
        <v>1064</v>
      </c>
      <c r="O146" s="22">
        <v>2481.5</v>
      </c>
      <c r="P146" s="22">
        <v>0</v>
      </c>
      <c r="Q146" s="21">
        <f>K146+N146</f>
        <v>2068.5</v>
      </c>
      <c r="R146" s="21">
        <f>G146+H146+I146+J146+K146+N146+P146</f>
        <v>2093.5</v>
      </c>
      <c r="S146" s="21">
        <f>L146+M146+O146</f>
        <v>5421.5</v>
      </c>
      <c r="T146" s="21">
        <f>F146-R146</f>
        <v>32906.5</v>
      </c>
      <c r="U146" s="24" t="s">
        <v>36</v>
      </c>
    </row>
    <row r="147" spans="1:21" ht="15.75" customHeight="1">
      <c r="A147" s="23">
        <v>132</v>
      </c>
      <c r="B147" s="23" t="s">
        <v>211</v>
      </c>
      <c r="C147" s="23" t="s">
        <v>77</v>
      </c>
      <c r="D147" s="23" t="s">
        <v>61</v>
      </c>
      <c r="E147" s="24" t="s">
        <v>29</v>
      </c>
      <c r="F147" s="21">
        <v>15000</v>
      </c>
      <c r="G147" s="22">
        <v>0</v>
      </c>
      <c r="H147" s="22">
        <v>25</v>
      </c>
      <c r="I147" s="22">
        <v>0</v>
      </c>
      <c r="J147" s="22">
        <v>0</v>
      </c>
      <c r="K147" s="22">
        <f>F147*2.87%</f>
        <v>430.5</v>
      </c>
      <c r="L147" s="22">
        <f>F147*7.1%</f>
        <v>1065</v>
      </c>
      <c r="M147" s="22">
        <v>195</v>
      </c>
      <c r="N147" s="22">
        <v>456</v>
      </c>
      <c r="O147" s="22">
        <v>1063.5</v>
      </c>
      <c r="P147" s="22">
        <v>0</v>
      </c>
      <c r="Q147" s="21">
        <f>K147+N147</f>
        <v>886.5</v>
      </c>
      <c r="R147" s="21">
        <f>G147+H147+I147+J147+K147+N147+P147</f>
        <v>911.5</v>
      </c>
      <c r="S147" s="21">
        <f>L147+M147+O147</f>
        <v>2323.5</v>
      </c>
      <c r="T147" s="21">
        <f>F147-R147</f>
        <v>14088.5</v>
      </c>
      <c r="U147" s="24" t="s">
        <v>36</v>
      </c>
    </row>
    <row r="148" spans="1:21" ht="15.75" customHeight="1">
      <c r="A148" s="19">
        <v>133</v>
      </c>
      <c r="B148" s="23" t="s">
        <v>212</v>
      </c>
      <c r="C148" s="23" t="s">
        <v>48</v>
      </c>
      <c r="D148" s="23" t="s">
        <v>213</v>
      </c>
      <c r="E148" s="24" t="s">
        <v>29</v>
      </c>
      <c r="F148" s="21">
        <v>20000</v>
      </c>
      <c r="G148" s="22">
        <v>0</v>
      </c>
      <c r="H148" s="22">
        <v>25</v>
      </c>
      <c r="I148" s="22">
        <v>0</v>
      </c>
      <c r="J148" s="22">
        <v>0</v>
      </c>
      <c r="K148" s="22">
        <f>F148*2.87%</f>
        <v>574</v>
      </c>
      <c r="L148" s="22">
        <f>F148*7.1%</f>
        <v>1419.9999999999998</v>
      </c>
      <c r="M148" s="22">
        <v>260</v>
      </c>
      <c r="N148" s="22">
        <v>608</v>
      </c>
      <c r="O148" s="22">
        <v>1418</v>
      </c>
      <c r="P148" s="22">
        <v>0</v>
      </c>
      <c r="Q148" s="21">
        <f>K148+N148</f>
        <v>1182</v>
      </c>
      <c r="R148" s="21">
        <f>G148+H148+I148+J148+K148+N148+P148</f>
        <v>1207</v>
      </c>
      <c r="S148" s="21">
        <f>L148+M148+O148</f>
        <v>3098</v>
      </c>
      <c r="T148" s="21">
        <f>F148-R148</f>
        <v>18793</v>
      </c>
      <c r="U148" s="24" t="s">
        <v>36</v>
      </c>
    </row>
    <row r="149" spans="1:21" ht="15.75" customHeight="1">
      <c r="A149" s="23">
        <v>134</v>
      </c>
      <c r="B149" s="23" t="s">
        <v>214</v>
      </c>
      <c r="C149" s="23" t="s">
        <v>77</v>
      </c>
      <c r="D149" s="23" t="s">
        <v>61</v>
      </c>
      <c r="E149" s="24" t="s">
        <v>29</v>
      </c>
      <c r="F149" s="21">
        <v>10000</v>
      </c>
      <c r="G149" s="22">
        <v>0</v>
      </c>
      <c r="H149" s="22">
        <v>25</v>
      </c>
      <c r="I149" s="22">
        <v>0</v>
      </c>
      <c r="J149" s="22">
        <f>500+300+1277.61</f>
        <v>2077.6099999999997</v>
      </c>
      <c r="K149" s="22">
        <f>F149*2.87%</f>
        <v>287</v>
      </c>
      <c r="L149" s="22">
        <f>F149*7.1%</f>
        <v>709.99999999999989</v>
      </c>
      <c r="M149" s="22">
        <v>130</v>
      </c>
      <c r="N149" s="22">
        <v>304</v>
      </c>
      <c r="O149" s="22">
        <v>709</v>
      </c>
      <c r="P149" s="22">
        <v>0</v>
      </c>
      <c r="Q149" s="21">
        <f>K149+N149</f>
        <v>591</v>
      </c>
      <c r="R149" s="21">
        <f>G149+H149+I149+J149+K149+N149+P149</f>
        <v>2693.6099999999997</v>
      </c>
      <c r="S149" s="21">
        <f>L149+M149+O149</f>
        <v>1549</v>
      </c>
      <c r="T149" s="21">
        <f>F149-R149</f>
        <v>7306.39</v>
      </c>
      <c r="U149" s="24" t="s">
        <v>30</v>
      </c>
    </row>
    <row r="150" spans="1:21" ht="15.75" customHeight="1">
      <c r="A150" s="23">
        <v>135</v>
      </c>
      <c r="B150" s="23" t="s">
        <v>215</v>
      </c>
      <c r="C150" s="23" t="s">
        <v>63</v>
      </c>
      <c r="D150" s="23" t="s">
        <v>78</v>
      </c>
      <c r="E150" s="24" t="s">
        <v>29</v>
      </c>
      <c r="F150" s="21">
        <v>20000</v>
      </c>
      <c r="G150" s="22">
        <v>0</v>
      </c>
      <c r="H150" s="22">
        <v>25</v>
      </c>
      <c r="I150" s="22">
        <v>0</v>
      </c>
      <c r="J150" s="22">
        <v>0</v>
      </c>
      <c r="K150" s="22">
        <f>F150*2.87%</f>
        <v>574</v>
      </c>
      <c r="L150" s="22">
        <f>F150*7.1%</f>
        <v>1419.9999999999998</v>
      </c>
      <c r="M150" s="22">
        <v>260</v>
      </c>
      <c r="N150" s="22">
        <v>608</v>
      </c>
      <c r="O150" s="22">
        <v>1418</v>
      </c>
      <c r="P150" s="22">
        <v>0</v>
      </c>
      <c r="Q150" s="21">
        <f>K150+N150</f>
        <v>1182</v>
      </c>
      <c r="R150" s="21">
        <f>G150+H150+I150+J150+K150+N150+P150</f>
        <v>1207</v>
      </c>
      <c r="S150" s="21">
        <f>L150+M150+O150</f>
        <v>3098</v>
      </c>
      <c r="T150" s="21">
        <f>F150-R150</f>
        <v>18793</v>
      </c>
      <c r="U150" s="24" t="s">
        <v>30</v>
      </c>
    </row>
    <row r="151" spans="1:21" ht="15.75" customHeight="1">
      <c r="A151" s="19">
        <v>136</v>
      </c>
      <c r="B151" s="23" t="s">
        <v>216</v>
      </c>
      <c r="C151" s="23" t="s">
        <v>57</v>
      </c>
      <c r="D151" s="23" t="s">
        <v>58</v>
      </c>
      <c r="E151" s="24" t="s">
        <v>29</v>
      </c>
      <c r="F151" s="21">
        <v>10000</v>
      </c>
      <c r="G151" s="22">
        <v>0</v>
      </c>
      <c r="H151" s="22">
        <v>25</v>
      </c>
      <c r="I151" s="22">
        <v>1165.46</v>
      </c>
      <c r="J151" s="22">
        <f>4700+300+1879.41</f>
        <v>6879.41</v>
      </c>
      <c r="K151" s="22">
        <f>F151*2.87%</f>
        <v>287</v>
      </c>
      <c r="L151" s="22">
        <f>F151*7.1%</f>
        <v>709.99999999999989</v>
      </c>
      <c r="M151" s="22">
        <v>130</v>
      </c>
      <c r="N151" s="22">
        <v>304</v>
      </c>
      <c r="O151" s="22">
        <v>709</v>
      </c>
      <c r="P151" s="22">
        <v>0</v>
      </c>
      <c r="Q151" s="21">
        <f>K151+N151</f>
        <v>591</v>
      </c>
      <c r="R151" s="21">
        <f>G151+H151+I151+J151+K151+N151+P151</f>
        <v>8660.869999999999</v>
      </c>
      <c r="S151" s="21">
        <f>L151+M151+O151</f>
        <v>1549</v>
      </c>
      <c r="T151" s="21">
        <f>F151-R151</f>
        <v>1339.130000000001</v>
      </c>
      <c r="U151" s="24" t="s">
        <v>36</v>
      </c>
    </row>
    <row r="152" spans="1:21" ht="15.75" customHeight="1">
      <c r="A152" s="23">
        <v>137</v>
      </c>
      <c r="B152" s="23" t="s">
        <v>217</v>
      </c>
      <c r="C152" s="23" t="s">
        <v>77</v>
      </c>
      <c r="D152" s="23" t="s">
        <v>61</v>
      </c>
      <c r="E152" s="24" t="s">
        <v>29</v>
      </c>
      <c r="F152" s="21">
        <v>15000</v>
      </c>
      <c r="G152" s="22">
        <v>0</v>
      </c>
      <c r="H152" s="22">
        <v>25</v>
      </c>
      <c r="I152" s="22">
        <v>0</v>
      </c>
      <c r="J152" s="22">
        <v>0</v>
      </c>
      <c r="K152" s="22">
        <f>F152*2.87%</f>
        <v>430.5</v>
      </c>
      <c r="L152" s="22">
        <f>F152*7.1%</f>
        <v>1065</v>
      </c>
      <c r="M152" s="22">
        <v>195</v>
      </c>
      <c r="N152" s="22">
        <v>456</v>
      </c>
      <c r="O152" s="22">
        <v>1063.5</v>
      </c>
      <c r="P152" s="22">
        <v>0</v>
      </c>
      <c r="Q152" s="21">
        <f>K152+N152</f>
        <v>886.5</v>
      </c>
      <c r="R152" s="21">
        <f>G152+H152+I152+J152+K152+N152+P152</f>
        <v>911.5</v>
      </c>
      <c r="S152" s="21">
        <f>L152+M152+O152</f>
        <v>2323.5</v>
      </c>
      <c r="T152" s="21">
        <f>F152-R152</f>
        <v>14088.5</v>
      </c>
      <c r="U152" s="24" t="s">
        <v>30</v>
      </c>
    </row>
    <row r="153" spans="1:21" ht="15.75" customHeight="1">
      <c r="A153" s="23">
        <v>138</v>
      </c>
      <c r="B153" s="23" t="s">
        <v>218</v>
      </c>
      <c r="C153" s="23" t="s">
        <v>176</v>
      </c>
      <c r="D153" s="23" t="s">
        <v>177</v>
      </c>
      <c r="E153" s="24" t="s">
        <v>29</v>
      </c>
      <c r="F153" s="21">
        <v>20000</v>
      </c>
      <c r="G153" s="22">
        <v>0</v>
      </c>
      <c r="H153" s="22">
        <v>25</v>
      </c>
      <c r="I153" s="22">
        <v>0</v>
      </c>
      <c r="J153" s="22">
        <v>0</v>
      </c>
      <c r="K153" s="22">
        <f>F153*2.87%</f>
        <v>574</v>
      </c>
      <c r="L153" s="22">
        <f>F153*7.1%</f>
        <v>1419.9999999999998</v>
      </c>
      <c r="M153" s="22">
        <v>260</v>
      </c>
      <c r="N153" s="22">
        <v>608</v>
      </c>
      <c r="O153" s="22">
        <v>1418</v>
      </c>
      <c r="P153" s="22">
        <v>0</v>
      </c>
      <c r="Q153" s="21">
        <f>K153+N153</f>
        <v>1182</v>
      </c>
      <c r="R153" s="21">
        <f>G153+H153+I153+J153+K153+N153+P153</f>
        <v>1207</v>
      </c>
      <c r="S153" s="21">
        <f>L153+M153+O153</f>
        <v>3098</v>
      </c>
      <c r="T153" s="21">
        <f>F153-R153</f>
        <v>18793</v>
      </c>
      <c r="U153" s="24" t="s">
        <v>30</v>
      </c>
    </row>
    <row r="154" spans="1:21" ht="15.75" customHeight="1">
      <c r="A154" s="19">
        <v>139</v>
      </c>
      <c r="B154" s="23" t="s">
        <v>219</v>
      </c>
      <c r="C154" s="23" t="s">
        <v>63</v>
      </c>
      <c r="D154" s="23" t="s">
        <v>98</v>
      </c>
      <c r="E154" s="24" t="s">
        <v>29</v>
      </c>
      <c r="F154" s="21">
        <v>20000</v>
      </c>
      <c r="G154" s="22">
        <v>0</v>
      </c>
      <c r="H154" s="22">
        <v>25</v>
      </c>
      <c r="I154" s="22">
        <v>0</v>
      </c>
      <c r="J154" s="22">
        <v>0</v>
      </c>
      <c r="K154" s="22">
        <f>F154*2.87%</f>
        <v>574</v>
      </c>
      <c r="L154" s="22">
        <f>F154*7.1%</f>
        <v>1419.9999999999998</v>
      </c>
      <c r="M154" s="22">
        <v>260</v>
      </c>
      <c r="N154" s="22">
        <v>608</v>
      </c>
      <c r="O154" s="22">
        <v>1418</v>
      </c>
      <c r="P154" s="22">
        <v>0</v>
      </c>
      <c r="Q154" s="21">
        <f>K154+N154</f>
        <v>1182</v>
      </c>
      <c r="R154" s="21">
        <f>G154+H154+I154+J154+K154+N154+P154</f>
        <v>1207</v>
      </c>
      <c r="S154" s="21">
        <f>L154+M154+O154</f>
        <v>3098</v>
      </c>
      <c r="T154" s="21">
        <f>F154-R154</f>
        <v>18793</v>
      </c>
      <c r="U154" s="24" t="s">
        <v>30</v>
      </c>
    </row>
    <row r="155" spans="1:21" ht="15.75" customHeight="1">
      <c r="A155" s="23">
        <v>140</v>
      </c>
      <c r="B155" s="23" t="s">
        <v>220</v>
      </c>
      <c r="C155" s="23" t="s">
        <v>221</v>
      </c>
      <c r="D155" s="23" t="s">
        <v>52</v>
      </c>
      <c r="E155" s="24" t="s">
        <v>29</v>
      </c>
      <c r="F155" s="21">
        <v>30000</v>
      </c>
      <c r="G155" s="22">
        <v>0</v>
      </c>
      <c r="H155" s="22">
        <v>25</v>
      </c>
      <c r="I155" s="22">
        <v>0</v>
      </c>
      <c r="J155" s="22">
        <f>500+300</f>
        <v>800</v>
      </c>
      <c r="K155" s="22">
        <f>F155*2.87%</f>
        <v>861</v>
      </c>
      <c r="L155" s="22">
        <f>F155*7.1%</f>
        <v>2130</v>
      </c>
      <c r="M155" s="22">
        <v>390</v>
      </c>
      <c r="N155" s="22">
        <v>912</v>
      </c>
      <c r="O155" s="22">
        <v>2127</v>
      </c>
      <c r="P155" s="22">
        <v>0</v>
      </c>
      <c r="Q155" s="21">
        <f>K155+N155</f>
        <v>1773</v>
      </c>
      <c r="R155" s="21">
        <f>G155+H155+I155+J155+K155+N155+P155</f>
        <v>2598</v>
      </c>
      <c r="S155" s="21">
        <f>L155+M155+O155</f>
        <v>4647</v>
      </c>
      <c r="T155" s="21">
        <f>F155-R155</f>
        <v>27402</v>
      </c>
      <c r="U155" s="24" t="s">
        <v>30</v>
      </c>
    </row>
    <row r="156" spans="1:21" ht="15.75" customHeight="1">
      <c r="A156" s="23">
        <v>141</v>
      </c>
      <c r="B156" s="23" t="s">
        <v>222</v>
      </c>
      <c r="C156" s="23" t="s">
        <v>57</v>
      </c>
      <c r="D156" s="23" t="s">
        <v>58</v>
      </c>
      <c r="E156" s="24" t="s">
        <v>29</v>
      </c>
      <c r="F156" s="21">
        <v>15000</v>
      </c>
      <c r="G156" s="22">
        <v>0</v>
      </c>
      <c r="H156" s="22">
        <v>25</v>
      </c>
      <c r="I156" s="22">
        <v>0</v>
      </c>
      <c r="J156" s="22">
        <f>300+5488.76</f>
        <v>5788.76</v>
      </c>
      <c r="K156" s="22">
        <f>F156*2.87%</f>
        <v>430.5</v>
      </c>
      <c r="L156" s="22">
        <f>F156*7.1%</f>
        <v>1065</v>
      </c>
      <c r="M156" s="22">
        <v>195</v>
      </c>
      <c r="N156" s="22">
        <v>456</v>
      </c>
      <c r="O156" s="22">
        <v>1063.5</v>
      </c>
      <c r="P156" s="22">
        <v>0</v>
      </c>
      <c r="Q156" s="21">
        <f>K156+N156</f>
        <v>886.5</v>
      </c>
      <c r="R156" s="21">
        <f>G156+H156+I156+J156+K156+N156+P156</f>
        <v>6700.26</v>
      </c>
      <c r="S156" s="21">
        <f>L156+M156+O156</f>
        <v>2323.5</v>
      </c>
      <c r="T156" s="21">
        <f>F156-R156</f>
        <v>8299.74</v>
      </c>
      <c r="U156" s="24" t="s">
        <v>36</v>
      </c>
    </row>
    <row r="157" spans="1:21" ht="15.75" customHeight="1">
      <c r="A157" s="19">
        <v>142</v>
      </c>
      <c r="B157" s="23" t="s">
        <v>223</v>
      </c>
      <c r="C157" s="23" t="s">
        <v>48</v>
      </c>
      <c r="D157" s="23" t="s">
        <v>78</v>
      </c>
      <c r="E157" s="24" t="s">
        <v>29</v>
      </c>
      <c r="F157" s="21">
        <v>15000</v>
      </c>
      <c r="G157" s="22">
        <v>0</v>
      </c>
      <c r="H157" s="22">
        <v>25</v>
      </c>
      <c r="I157" s="22">
        <v>0</v>
      </c>
      <c r="J157" s="22">
        <v>0</v>
      </c>
      <c r="K157" s="22">
        <f>F157*2.87%</f>
        <v>430.5</v>
      </c>
      <c r="L157" s="22">
        <f>F157*7.1%</f>
        <v>1065</v>
      </c>
      <c r="M157" s="22">
        <v>195</v>
      </c>
      <c r="N157" s="22">
        <v>456</v>
      </c>
      <c r="O157" s="22">
        <v>1063.5</v>
      </c>
      <c r="P157" s="22">
        <v>0</v>
      </c>
      <c r="Q157" s="21">
        <f>K157+N157</f>
        <v>886.5</v>
      </c>
      <c r="R157" s="21">
        <f>G157+H157+I157+J157+K157+N157+P157</f>
        <v>911.5</v>
      </c>
      <c r="S157" s="21">
        <f>L157+M157+O157</f>
        <v>2323.5</v>
      </c>
      <c r="T157" s="21">
        <f>F157-R157</f>
        <v>14088.5</v>
      </c>
      <c r="U157" s="24" t="s">
        <v>36</v>
      </c>
    </row>
    <row r="158" spans="1:21" ht="15.75" customHeight="1">
      <c r="A158" s="23">
        <v>143</v>
      </c>
      <c r="B158" s="23" t="s">
        <v>224</v>
      </c>
      <c r="C158" s="23" t="s">
        <v>71</v>
      </c>
      <c r="D158" s="23" t="s">
        <v>72</v>
      </c>
      <c r="E158" s="24" t="s">
        <v>29</v>
      </c>
      <c r="F158" s="21">
        <v>15000</v>
      </c>
      <c r="G158" s="22">
        <v>0</v>
      </c>
      <c r="H158" s="22">
        <v>25</v>
      </c>
      <c r="I158" s="22">
        <v>0</v>
      </c>
      <c r="J158" s="22">
        <v>0</v>
      </c>
      <c r="K158" s="22">
        <f>F158*2.87%</f>
        <v>430.5</v>
      </c>
      <c r="L158" s="22">
        <f>F158*7.1%</f>
        <v>1065</v>
      </c>
      <c r="M158" s="22">
        <v>195</v>
      </c>
      <c r="N158" s="22">
        <v>456</v>
      </c>
      <c r="O158" s="22">
        <v>1063.5</v>
      </c>
      <c r="P158" s="22">
        <v>0</v>
      </c>
      <c r="Q158" s="21">
        <f>K158+N158</f>
        <v>886.5</v>
      </c>
      <c r="R158" s="21">
        <f>G158+H158+I158+J158+K158+N158+P158</f>
        <v>911.5</v>
      </c>
      <c r="S158" s="21">
        <f>L158+M158+O158</f>
        <v>2323.5</v>
      </c>
      <c r="T158" s="21">
        <f>F158-R158</f>
        <v>14088.5</v>
      </c>
      <c r="U158" s="24" t="s">
        <v>36</v>
      </c>
    </row>
    <row r="159" spans="1:21" ht="15.75" customHeight="1">
      <c r="A159" s="23">
        <v>144</v>
      </c>
      <c r="B159" s="23" t="s">
        <v>225</v>
      </c>
      <c r="C159" s="23" t="s">
        <v>57</v>
      </c>
      <c r="D159" s="23" t="s">
        <v>72</v>
      </c>
      <c r="E159" s="24" t="s">
        <v>29</v>
      </c>
      <c r="F159" s="21">
        <v>10000</v>
      </c>
      <c r="G159" s="22">
        <v>0</v>
      </c>
      <c r="H159" s="22">
        <v>25</v>
      </c>
      <c r="I159" s="22">
        <v>0</v>
      </c>
      <c r="J159" s="22">
        <f>700+300+2637.3</f>
        <v>3637.3</v>
      </c>
      <c r="K159" s="22">
        <f>F159*2.87%</f>
        <v>287</v>
      </c>
      <c r="L159" s="22">
        <f>F159*7.1%</f>
        <v>709.99999999999989</v>
      </c>
      <c r="M159" s="22">
        <v>130</v>
      </c>
      <c r="N159" s="22">
        <v>304</v>
      </c>
      <c r="O159" s="22">
        <v>709</v>
      </c>
      <c r="P159" s="22">
        <v>0</v>
      </c>
      <c r="Q159" s="21">
        <f>K159+N159</f>
        <v>591</v>
      </c>
      <c r="R159" s="21">
        <f>G159+H159+I159+J159+K159+N159+P159</f>
        <v>4253.3</v>
      </c>
      <c r="S159" s="21">
        <f>L159+M159+O159</f>
        <v>1549</v>
      </c>
      <c r="T159" s="21">
        <f>F159-R159</f>
        <v>5746.7</v>
      </c>
      <c r="U159" s="24" t="s">
        <v>36</v>
      </c>
    </row>
    <row r="160" spans="1:21" ht="15.75" customHeight="1">
      <c r="A160" s="19">
        <v>145</v>
      </c>
      <c r="B160" s="23" t="s">
        <v>226</v>
      </c>
      <c r="C160" s="23" t="s">
        <v>68</v>
      </c>
      <c r="D160" s="23" t="s">
        <v>49</v>
      </c>
      <c r="E160" s="24" t="s">
        <v>29</v>
      </c>
      <c r="F160" s="21">
        <v>13000</v>
      </c>
      <c r="G160" s="22">
        <v>0</v>
      </c>
      <c r="H160" s="22">
        <v>25</v>
      </c>
      <c r="I160" s="22">
        <v>0</v>
      </c>
      <c r="J160" s="22">
        <f>700+300+1153.59</f>
        <v>2153.59</v>
      </c>
      <c r="K160" s="22">
        <f>F160*2.87%</f>
        <v>373.1</v>
      </c>
      <c r="L160" s="22">
        <f>F160*7.1%</f>
        <v>922.99999999999989</v>
      </c>
      <c r="M160" s="22">
        <v>169</v>
      </c>
      <c r="N160" s="22">
        <v>395.2</v>
      </c>
      <c r="O160" s="22">
        <v>921.7</v>
      </c>
      <c r="P160" s="22">
        <v>0</v>
      </c>
      <c r="Q160" s="21">
        <f>K160+N160</f>
        <v>768.3</v>
      </c>
      <c r="R160" s="21">
        <f>G160+H160+I160+J160+K160+N160+P160</f>
        <v>2946.89</v>
      </c>
      <c r="S160" s="21">
        <f>L160+M160+O160</f>
        <v>2013.7</v>
      </c>
      <c r="T160" s="21">
        <f>F160-R160</f>
        <v>10053.11</v>
      </c>
      <c r="U160" s="24" t="s">
        <v>30</v>
      </c>
    </row>
    <row r="161" spans="1:21" ht="15.75" customHeight="1">
      <c r="A161" s="23">
        <v>146</v>
      </c>
      <c r="B161" s="23" t="s">
        <v>227</v>
      </c>
      <c r="C161" s="23" t="s">
        <v>63</v>
      </c>
      <c r="D161" s="23" t="s">
        <v>98</v>
      </c>
      <c r="E161" s="24" t="s">
        <v>29</v>
      </c>
      <c r="F161" s="21">
        <v>30000</v>
      </c>
      <c r="G161" s="22">
        <v>0</v>
      </c>
      <c r="H161" s="22">
        <v>25</v>
      </c>
      <c r="I161" s="22">
        <v>0</v>
      </c>
      <c r="J161" s="22">
        <v>0</v>
      </c>
      <c r="K161" s="22">
        <f>F161*2.87%</f>
        <v>861</v>
      </c>
      <c r="L161" s="22">
        <f>F161*7.1%</f>
        <v>2130</v>
      </c>
      <c r="M161" s="22">
        <v>390</v>
      </c>
      <c r="N161" s="22">
        <v>912</v>
      </c>
      <c r="O161" s="22">
        <v>2127</v>
      </c>
      <c r="P161" s="22">
        <v>0</v>
      </c>
      <c r="Q161" s="21">
        <f>K161+N161</f>
        <v>1773</v>
      </c>
      <c r="R161" s="21">
        <f>G161+H161+I161+J161+K161+N161+P161</f>
        <v>1798</v>
      </c>
      <c r="S161" s="21">
        <f>L161+M161+O161</f>
        <v>4647</v>
      </c>
      <c r="T161" s="21">
        <f>F161-R161</f>
        <v>28202</v>
      </c>
      <c r="U161" s="24" t="s">
        <v>30</v>
      </c>
    </row>
    <row r="162" spans="1:21" ht="15.75" customHeight="1">
      <c r="A162" s="23">
        <v>147</v>
      </c>
      <c r="B162" s="23" t="s">
        <v>228</v>
      </c>
      <c r="C162" s="23" t="s">
        <v>66</v>
      </c>
      <c r="D162" s="23" t="s">
        <v>78</v>
      </c>
      <c r="E162" s="24" t="s">
        <v>29</v>
      </c>
      <c r="F162" s="21">
        <v>21420.18</v>
      </c>
      <c r="G162" s="22">
        <v>0</v>
      </c>
      <c r="H162" s="22">
        <v>25</v>
      </c>
      <c r="I162" s="22">
        <v>0</v>
      </c>
      <c r="J162" s="22">
        <v>0</v>
      </c>
      <c r="K162" s="22">
        <f>F162*2.87%</f>
        <v>614.75916600000005</v>
      </c>
      <c r="L162" s="22">
        <f>F162*7.1%</f>
        <v>1520.83278</v>
      </c>
      <c r="M162" s="22">
        <v>278.45999999999998</v>
      </c>
      <c r="N162" s="22">
        <v>651.17347200000006</v>
      </c>
      <c r="O162" s="22">
        <v>1518.6907620000002</v>
      </c>
      <c r="P162" s="22">
        <v>0</v>
      </c>
      <c r="Q162" s="21">
        <f>K162+N162</f>
        <v>1265.9326380000002</v>
      </c>
      <c r="R162" s="21">
        <f>G162+H162+I162+J162+K162+N162+P162</f>
        <v>1290.9326380000002</v>
      </c>
      <c r="S162" s="21">
        <f>L162+M162+O162</f>
        <v>3317.9835419999999</v>
      </c>
      <c r="T162" s="21">
        <f>F162-R162</f>
        <v>20129.247362000002</v>
      </c>
      <c r="U162" s="24" t="s">
        <v>30</v>
      </c>
    </row>
    <row r="163" spans="1:21" ht="15.75" customHeight="1">
      <c r="A163" s="19">
        <v>148</v>
      </c>
      <c r="B163" s="23" t="s">
        <v>229</v>
      </c>
      <c r="C163" s="23" t="s">
        <v>71</v>
      </c>
      <c r="D163" s="23" t="s">
        <v>72</v>
      </c>
      <c r="E163" s="24" t="s">
        <v>29</v>
      </c>
      <c r="F163" s="21">
        <v>10000</v>
      </c>
      <c r="G163" s="22">
        <v>0</v>
      </c>
      <c r="H163" s="22">
        <v>25</v>
      </c>
      <c r="I163" s="22">
        <v>0</v>
      </c>
      <c r="J163" s="22">
        <v>0</v>
      </c>
      <c r="K163" s="22">
        <f>F163*2.87%</f>
        <v>287</v>
      </c>
      <c r="L163" s="22">
        <f>F163*7.1%</f>
        <v>709.99999999999989</v>
      </c>
      <c r="M163" s="22">
        <v>130</v>
      </c>
      <c r="N163" s="22">
        <v>304</v>
      </c>
      <c r="O163" s="22">
        <v>709</v>
      </c>
      <c r="P163" s="22">
        <v>0</v>
      </c>
      <c r="Q163" s="21">
        <f>K163+N163</f>
        <v>591</v>
      </c>
      <c r="R163" s="21">
        <f>G163+H163+I163+J163+K163+N163+P163</f>
        <v>616</v>
      </c>
      <c r="S163" s="21">
        <f>L163+M163+O163</f>
        <v>1549</v>
      </c>
      <c r="T163" s="21">
        <f>F163-R163</f>
        <v>9384</v>
      </c>
      <c r="U163" s="24" t="s">
        <v>36</v>
      </c>
    </row>
    <row r="164" spans="1:21" ht="15.75" customHeight="1">
      <c r="A164" s="23">
        <v>149</v>
      </c>
      <c r="B164" s="23" t="s">
        <v>230</v>
      </c>
      <c r="C164" s="23" t="s">
        <v>201</v>
      </c>
      <c r="D164" s="23" t="s">
        <v>72</v>
      </c>
      <c r="E164" s="24" t="s">
        <v>29</v>
      </c>
      <c r="F164" s="21">
        <v>26200</v>
      </c>
      <c r="G164" s="22">
        <v>0</v>
      </c>
      <c r="H164" s="22">
        <v>25</v>
      </c>
      <c r="I164" s="22">
        <v>0</v>
      </c>
      <c r="J164" s="22">
        <v>0</v>
      </c>
      <c r="K164" s="22">
        <f>F164*2.87%</f>
        <v>751.93999999999994</v>
      </c>
      <c r="L164" s="22">
        <f>F164*7.1%</f>
        <v>1860.1999999999998</v>
      </c>
      <c r="M164" s="22">
        <v>340.6</v>
      </c>
      <c r="N164" s="22">
        <v>796.48</v>
      </c>
      <c r="O164" s="22">
        <v>1857.5800000000002</v>
      </c>
      <c r="P164" s="22">
        <v>0</v>
      </c>
      <c r="Q164" s="21">
        <f>K164+N164</f>
        <v>1548.42</v>
      </c>
      <c r="R164" s="21">
        <f>G164+H164+I164+J164+K164+N164+P164</f>
        <v>1573.42</v>
      </c>
      <c r="S164" s="21">
        <f>L164+M164+O164</f>
        <v>4058.38</v>
      </c>
      <c r="T164" s="21">
        <f>F164-R164</f>
        <v>24626.58</v>
      </c>
      <c r="U164" s="24" t="s">
        <v>30</v>
      </c>
    </row>
    <row r="165" spans="1:21" ht="15.75" customHeight="1">
      <c r="A165" s="23">
        <v>150</v>
      </c>
      <c r="B165" s="23" t="s">
        <v>164</v>
      </c>
      <c r="C165" s="23" t="s">
        <v>60</v>
      </c>
      <c r="D165" s="23" t="s">
        <v>61</v>
      </c>
      <c r="E165" s="24" t="s">
        <v>29</v>
      </c>
      <c r="F165" s="21">
        <v>30000</v>
      </c>
      <c r="G165" s="22">
        <v>0</v>
      </c>
      <c r="H165" s="22">
        <v>25</v>
      </c>
      <c r="I165" s="22">
        <v>0</v>
      </c>
      <c r="J165" s="22">
        <v>0</v>
      </c>
      <c r="K165" s="22">
        <f>F165*2.87%</f>
        <v>861</v>
      </c>
      <c r="L165" s="22">
        <f>F165*7.1%</f>
        <v>2130</v>
      </c>
      <c r="M165" s="22">
        <v>390</v>
      </c>
      <c r="N165" s="22">
        <v>912</v>
      </c>
      <c r="O165" s="22">
        <v>2127</v>
      </c>
      <c r="P165" s="22">
        <v>0</v>
      </c>
      <c r="Q165" s="21">
        <f>K165+N165</f>
        <v>1773</v>
      </c>
      <c r="R165" s="21">
        <f>G165+H165+I165+J165+K165+N165+P165</f>
        <v>1798</v>
      </c>
      <c r="S165" s="21">
        <f>L165+M165+O165</f>
        <v>4647</v>
      </c>
      <c r="T165" s="21">
        <f>F165-R165</f>
        <v>28202</v>
      </c>
      <c r="U165" s="24" t="s">
        <v>30</v>
      </c>
    </row>
    <row r="166" spans="1:21" ht="15.75" customHeight="1">
      <c r="A166" s="19">
        <v>151</v>
      </c>
      <c r="B166" s="23" t="s">
        <v>231</v>
      </c>
      <c r="C166" s="23" t="s">
        <v>232</v>
      </c>
      <c r="D166" s="23" t="s">
        <v>69</v>
      </c>
      <c r="E166" s="24" t="s">
        <v>29</v>
      </c>
      <c r="F166" s="21">
        <v>25000</v>
      </c>
      <c r="G166" s="22">
        <v>0</v>
      </c>
      <c r="H166" s="22">
        <v>25</v>
      </c>
      <c r="I166" s="22">
        <v>0</v>
      </c>
      <c r="J166" s="22">
        <f>300+1000+2067.14</f>
        <v>3367.14</v>
      </c>
      <c r="K166" s="22">
        <f>F166*2.87%</f>
        <v>717.5</v>
      </c>
      <c r="L166" s="22">
        <f>F166*7.1%</f>
        <v>1774.9999999999998</v>
      </c>
      <c r="M166" s="22">
        <v>325</v>
      </c>
      <c r="N166" s="22">
        <v>760</v>
      </c>
      <c r="O166" s="22">
        <v>1772.5000000000002</v>
      </c>
      <c r="P166" s="22">
        <v>0</v>
      </c>
      <c r="Q166" s="21">
        <f>K166+N166</f>
        <v>1477.5</v>
      </c>
      <c r="R166" s="21">
        <f>G166+H166+I166+J166+K166+N166+P166</f>
        <v>4869.6399999999994</v>
      </c>
      <c r="S166" s="21">
        <f>L166+M166+O166</f>
        <v>3872.5</v>
      </c>
      <c r="T166" s="21">
        <f>F166-R166</f>
        <v>20130.36</v>
      </c>
      <c r="U166" s="24" t="s">
        <v>30</v>
      </c>
    </row>
    <row r="167" spans="1:21" ht="15.75" customHeight="1">
      <c r="A167" s="23">
        <v>152</v>
      </c>
      <c r="B167" s="23" t="s">
        <v>233</v>
      </c>
      <c r="C167" s="23" t="s">
        <v>66</v>
      </c>
      <c r="D167" s="23" t="s">
        <v>58</v>
      </c>
      <c r="E167" s="24" t="s">
        <v>29</v>
      </c>
      <c r="F167" s="21">
        <v>30000</v>
      </c>
      <c r="G167" s="22">
        <v>0</v>
      </c>
      <c r="H167" s="22">
        <v>25</v>
      </c>
      <c r="I167" s="22">
        <v>0</v>
      </c>
      <c r="J167" s="22">
        <v>0</v>
      </c>
      <c r="K167" s="22">
        <f>F167*2.87%</f>
        <v>861</v>
      </c>
      <c r="L167" s="22">
        <f>F167*7.1%</f>
        <v>2130</v>
      </c>
      <c r="M167" s="22">
        <v>390</v>
      </c>
      <c r="N167" s="22">
        <v>912</v>
      </c>
      <c r="O167" s="22">
        <v>2127</v>
      </c>
      <c r="P167" s="22">
        <v>0</v>
      </c>
      <c r="Q167" s="21">
        <f>K167+N167</f>
        <v>1773</v>
      </c>
      <c r="R167" s="21">
        <f>G167+H167+I167+J167+K167+N167+P167</f>
        <v>1798</v>
      </c>
      <c r="S167" s="21">
        <f>L167+M167+O167</f>
        <v>4647</v>
      </c>
      <c r="T167" s="21">
        <f>F167-R167</f>
        <v>28202</v>
      </c>
      <c r="U167" s="24" t="s">
        <v>30</v>
      </c>
    </row>
    <row r="168" spans="1:21" ht="15.75" customHeight="1">
      <c r="A168" s="23">
        <v>153</v>
      </c>
      <c r="B168" s="23" t="s">
        <v>234</v>
      </c>
      <c r="C168" s="23" t="s">
        <v>88</v>
      </c>
      <c r="D168" s="23" t="s">
        <v>72</v>
      </c>
      <c r="E168" s="24" t="s">
        <v>29</v>
      </c>
      <c r="F168" s="21">
        <v>15000</v>
      </c>
      <c r="G168" s="22">
        <v>0</v>
      </c>
      <c r="H168" s="22">
        <v>25</v>
      </c>
      <c r="I168" s="22">
        <v>0</v>
      </c>
      <c r="J168" s="22">
        <v>0</v>
      </c>
      <c r="K168" s="22">
        <f>F168*2.87%</f>
        <v>430.5</v>
      </c>
      <c r="L168" s="22">
        <f>F168*7.1%</f>
        <v>1065</v>
      </c>
      <c r="M168" s="22">
        <v>195</v>
      </c>
      <c r="N168" s="22">
        <v>456</v>
      </c>
      <c r="O168" s="22">
        <v>1063.5</v>
      </c>
      <c r="P168" s="22">
        <v>0</v>
      </c>
      <c r="Q168" s="21">
        <f>K168+N168</f>
        <v>886.5</v>
      </c>
      <c r="R168" s="21">
        <f>G168+H168+I168+J168+K168+N168+P168</f>
        <v>911.5</v>
      </c>
      <c r="S168" s="21">
        <f>L168+M168+O168</f>
        <v>2323.5</v>
      </c>
      <c r="T168" s="21">
        <f>F168-R168</f>
        <v>14088.5</v>
      </c>
      <c r="U168" s="24" t="s">
        <v>30</v>
      </c>
    </row>
    <row r="169" spans="1:21" ht="15.75" customHeight="1">
      <c r="A169" s="19">
        <v>154</v>
      </c>
      <c r="B169" s="23" t="s">
        <v>235</v>
      </c>
      <c r="C169" s="23" t="s">
        <v>66</v>
      </c>
      <c r="D169" s="23" t="s">
        <v>61</v>
      </c>
      <c r="E169" s="24" t="s">
        <v>29</v>
      </c>
      <c r="F169" s="21">
        <v>22000</v>
      </c>
      <c r="G169" s="22">
        <v>0</v>
      </c>
      <c r="H169" s="22">
        <v>25</v>
      </c>
      <c r="I169" s="22">
        <v>0</v>
      </c>
      <c r="J169" s="22">
        <v>0</v>
      </c>
      <c r="K169" s="22">
        <f>F169*2.87%</f>
        <v>631.4</v>
      </c>
      <c r="L169" s="22">
        <f>F169*7.1%</f>
        <v>1561.9999999999998</v>
      </c>
      <c r="M169" s="22">
        <v>286</v>
      </c>
      <c r="N169" s="22">
        <v>668.8</v>
      </c>
      <c r="O169" s="22">
        <v>1559.8000000000002</v>
      </c>
      <c r="P169" s="22">
        <v>0</v>
      </c>
      <c r="Q169" s="21">
        <f>K169+N169</f>
        <v>1300.1999999999998</v>
      </c>
      <c r="R169" s="21">
        <f>G169+H169+I169+J169+K169+N169+P169</f>
        <v>1325.1999999999998</v>
      </c>
      <c r="S169" s="21">
        <f>L169+M169+O169</f>
        <v>3407.8</v>
      </c>
      <c r="T169" s="21">
        <f>F169-R169</f>
        <v>20674.8</v>
      </c>
      <c r="U169" s="24" t="s">
        <v>30</v>
      </c>
    </row>
    <row r="170" spans="1:21" ht="15.75" customHeight="1">
      <c r="A170" s="23">
        <v>155</v>
      </c>
      <c r="B170" s="23" t="s">
        <v>236</v>
      </c>
      <c r="C170" s="23" t="s">
        <v>68</v>
      </c>
      <c r="D170" s="23" t="s">
        <v>237</v>
      </c>
      <c r="E170" s="24" t="s">
        <v>29</v>
      </c>
      <c r="F170" s="21">
        <v>30000</v>
      </c>
      <c r="G170" s="22">
        <v>0</v>
      </c>
      <c r="H170" s="22">
        <v>25</v>
      </c>
      <c r="I170" s="22">
        <v>0</v>
      </c>
      <c r="J170" s="22">
        <v>0</v>
      </c>
      <c r="K170" s="22">
        <f>F170*2.87%</f>
        <v>861</v>
      </c>
      <c r="L170" s="22">
        <f>F170*7.1%</f>
        <v>2130</v>
      </c>
      <c r="M170" s="22">
        <v>390</v>
      </c>
      <c r="N170" s="22">
        <v>912</v>
      </c>
      <c r="O170" s="22">
        <v>2127</v>
      </c>
      <c r="P170" s="22">
        <v>0</v>
      </c>
      <c r="Q170" s="21">
        <f>K170+N170</f>
        <v>1773</v>
      </c>
      <c r="R170" s="21">
        <f>G170+H170+I170+J170+K170+N170+P170</f>
        <v>1798</v>
      </c>
      <c r="S170" s="21">
        <f>L170+M170+O170</f>
        <v>4647</v>
      </c>
      <c r="T170" s="21">
        <f>F170-R170</f>
        <v>28202</v>
      </c>
      <c r="U170" s="24" t="s">
        <v>30</v>
      </c>
    </row>
    <row r="171" spans="1:21" ht="15.75" customHeight="1">
      <c r="A171" s="23">
        <v>156</v>
      </c>
      <c r="B171" s="23" t="s">
        <v>238</v>
      </c>
      <c r="C171" s="23" t="s">
        <v>48</v>
      </c>
      <c r="D171" s="23" t="s">
        <v>55</v>
      </c>
      <c r="E171" s="24" t="s">
        <v>29</v>
      </c>
      <c r="F171" s="21">
        <v>15763</v>
      </c>
      <c r="G171" s="22">
        <v>0</v>
      </c>
      <c r="H171" s="22">
        <v>25</v>
      </c>
      <c r="I171" s="22">
        <v>0</v>
      </c>
      <c r="J171" s="22">
        <v>0</v>
      </c>
      <c r="K171" s="22">
        <f>F171*2.87%</f>
        <v>452.3981</v>
      </c>
      <c r="L171" s="22">
        <f>F171*7.1%</f>
        <v>1119.173</v>
      </c>
      <c r="M171" s="22">
        <v>204.92</v>
      </c>
      <c r="N171" s="22">
        <v>479.1952</v>
      </c>
      <c r="O171" s="22">
        <v>1117.5967000000001</v>
      </c>
      <c r="P171" s="22">
        <v>0</v>
      </c>
      <c r="Q171" s="21">
        <f>K171+N171</f>
        <v>931.5933</v>
      </c>
      <c r="R171" s="21">
        <f>G171+H171+I171+J171+K171+N171+P171</f>
        <v>956.5933</v>
      </c>
      <c r="S171" s="21">
        <f>L171+M171+O171</f>
        <v>2441.6896999999999</v>
      </c>
      <c r="T171" s="21">
        <f>F171-R171</f>
        <v>14806.4067</v>
      </c>
      <c r="U171" s="24" t="s">
        <v>36</v>
      </c>
    </row>
    <row r="172" spans="1:21" ht="15.75" customHeight="1">
      <c r="A172" s="19">
        <v>157</v>
      </c>
      <c r="B172" s="23" t="s">
        <v>239</v>
      </c>
      <c r="C172" s="23" t="s">
        <v>240</v>
      </c>
      <c r="D172" s="23" t="s">
        <v>72</v>
      </c>
      <c r="E172" s="24" t="s">
        <v>29</v>
      </c>
      <c r="F172" s="21">
        <v>18000</v>
      </c>
      <c r="G172" s="22">
        <v>0</v>
      </c>
      <c r="H172" s="22">
        <v>25</v>
      </c>
      <c r="I172" s="22">
        <v>0</v>
      </c>
      <c r="J172" s="22">
        <f>2000+300+2833.61+2067.4</f>
        <v>7201.01</v>
      </c>
      <c r="K172" s="22">
        <f>F172*2.87%</f>
        <v>516.6</v>
      </c>
      <c r="L172" s="22">
        <f>F172*7.1%</f>
        <v>1277.9999999999998</v>
      </c>
      <c r="M172" s="22">
        <v>234</v>
      </c>
      <c r="N172" s="22">
        <v>547.20000000000005</v>
      </c>
      <c r="O172" s="22">
        <v>1276.2</v>
      </c>
      <c r="P172" s="22">
        <v>0</v>
      </c>
      <c r="Q172" s="21">
        <f>K172+N172</f>
        <v>1063.8000000000002</v>
      </c>
      <c r="R172" s="21">
        <f>G172+H172+I172+J172+K172+N172+P172</f>
        <v>8289.8100000000013</v>
      </c>
      <c r="S172" s="21">
        <f>L172+M172+O172</f>
        <v>2788.2</v>
      </c>
      <c r="T172" s="21">
        <f>F172-R172</f>
        <v>9710.1899999999987</v>
      </c>
      <c r="U172" s="24" t="s">
        <v>36</v>
      </c>
    </row>
    <row r="173" spans="1:21" ht="15.75" customHeight="1">
      <c r="A173" s="23">
        <v>158</v>
      </c>
      <c r="B173" s="23" t="s">
        <v>241</v>
      </c>
      <c r="C173" s="23" t="s">
        <v>71</v>
      </c>
      <c r="D173" s="23" t="s">
        <v>72</v>
      </c>
      <c r="E173" s="24" t="s">
        <v>29</v>
      </c>
      <c r="F173" s="21">
        <v>12000</v>
      </c>
      <c r="G173" s="22">
        <v>0</v>
      </c>
      <c r="H173" s="22">
        <v>25</v>
      </c>
      <c r="I173" s="22">
        <v>0</v>
      </c>
      <c r="J173" s="22">
        <v>0</v>
      </c>
      <c r="K173" s="22">
        <f>F173*2.87%</f>
        <v>344.4</v>
      </c>
      <c r="L173" s="22">
        <f>F173*7.1%</f>
        <v>851.99999999999989</v>
      </c>
      <c r="M173" s="22">
        <v>156</v>
      </c>
      <c r="N173" s="22">
        <v>364.8</v>
      </c>
      <c r="O173" s="22">
        <v>850.80000000000007</v>
      </c>
      <c r="P173" s="22">
        <v>0</v>
      </c>
      <c r="Q173" s="21">
        <f>K173+N173</f>
        <v>709.2</v>
      </c>
      <c r="R173" s="21">
        <f>G173+H173+I173+J173+K173+N173+P173</f>
        <v>734.2</v>
      </c>
      <c r="S173" s="21">
        <f>L173+M173+O173</f>
        <v>1858.8</v>
      </c>
      <c r="T173" s="21">
        <f>F173-R173</f>
        <v>11265.8</v>
      </c>
      <c r="U173" s="24" t="s">
        <v>36</v>
      </c>
    </row>
    <row r="174" spans="1:21" ht="15.75" customHeight="1">
      <c r="A174" s="23">
        <v>159</v>
      </c>
      <c r="B174" s="23" t="s">
        <v>242</v>
      </c>
      <c r="C174" s="23" t="s">
        <v>68</v>
      </c>
      <c r="D174" s="23" t="s">
        <v>41</v>
      </c>
      <c r="E174" s="24" t="s">
        <v>29</v>
      </c>
      <c r="F174" s="21">
        <v>30000</v>
      </c>
      <c r="G174" s="22">
        <v>0</v>
      </c>
      <c r="H174" s="22">
        <v>25</v>
      </c>
      <c r="I174" s="22">
        <v>0</v>
      </c>
      <c r="J174" s="22">
        <v>0</v>
      </c>
      <c r="K174" s="22">
        <f>F174*2.87%</f>
        <v>861</v>
      </c>
      <c r="L174" s="22">
        <f>F174*7.1%</f>
        <v>2130</v>
      </c>
      <c r="M174" s="22">
        <v>390</v>
      </c>
      <c r="N174" s="22">
        <v>912</v>
      </c>
      <c r="O174" s="22">
        <v>2127</v>
      </c>
      <c r="P174" s="22">
        <v>0</v>
      </c>
      <c r="Q174" s="21">
        <f>K174+N174</f>
        <v>1773</v>
      </c>
      <c r="R174" s="21">
        <f>G174+H174+I174+J174+K174+N174+P174</f>
        <v>1798</v>
      </c>
      <c r="S174" s="21">
        <f>L174+M174+O174</f>
        <v>4647</v>
      </c>
      <c r="T174" s="21">
        <f>F174-R174</f>
        <v>28202</v>
      </c>
      <c r="U174" s="24" t="s">
        <v>36</v>
      </c>
    </row>
    <row r="175" spans="1:21" ht="15.75" customHeight="1">
      <c r="A175" s="19">
        <v>160</v>
      </c>
      <c r="B175" s="23" t="s">
        <v>243</v>
      </c>
      <c r="C175" s="23" t="s">
        <v>57</v>
      </c>
      <c r="D175" s="23" t="s">
        <v>58</v>
      </c>
      <c r="E175" s="24" t="s">
        <v>29</v>
      </c>
      <c r="F175" s="21">
        <v>10000</v>
      </c>
      <c r="G175" s="22">
        <v>0</v>
      </c>
      <c r="H175" s="22">
        <v>25</v>
      </c>
      <c r="I175" s="22">
        <v>0</v>
      </c>
      <c r="J175" s="22">
        <v>0</v>
      </c>
      <c r="K175" s="22">
        <f>F175*2.87%</f>
        <v>287</v>
      </c>
      <c r="L175" s="22">
        <f>F175*7.1%</f>
        <v>709.99999999999989</v>
      </c>
      <c r="M175" s="22">
        <v>130</v>
      </c>
      <c r="N175" s="22">
        <v>304</v>
      </c>
      <c r="O175" s="22">
        <v>709</v>
      </c>
      <c r="P175" s="22">
        <v>0</v>
      </c>
      <c r="Q175" s="21">
        <f>K175+N175</f>
        <v>591</v>
      </c>
      <c r="R175" s="21">
        <f>G175+H175+I175+J175+K175+N175+P175</f>
        <v>616</v>
      </c>
      <c r="S175" s="21">
        <f>L175+M175+O175</f>
        <v>1549</v>
      </c>
      <c r="T175" s="21">
        <f>F175-R175</f>
        <v>9384</v>
      </c>
      <c r="U175" s="24" t="s">
        <v>36</v>
      </c>
    </row>
    <row r="176" spans="1:21" ht="15.75" customHeight="1">
      <c r="A176" s="23">
        <v>161</v>
      </c>
      <c r="B176" s="23" t="s">
        <v>244</v>
      </c>
      <c r="C176" s="23" t="s">
        <v>77</v>
      </c>
      <c r="D176" s="23" t="s">
        <v>61</v>
      </c>
      <c r="E176" s="24" t="s">
        <v>29</v>
      </c>
      <c r="F176" s="21">
        <v>10000</v>
      </c>
      <c r="G176" s="22">
        <v>0</v>
      </c>
      <c r="H176" s="22">
        <v>25</v>
      </c>
      <c r="I176" s="22">
        <v>0</v>
      </c>
      <c r="J176" s="22">
        <v>0</v>
      </c>
      <c r="K176" s="22">
        <f>F176*2.87%</f>
        <v>287</v>
      </c>
      <c r="L176" s="22">
        <f>F176*7.1%</f>
        <v>709.99999999999989</v>
      </c>
      <c r="M176" s="22">
        <v>130</v>
      </c>
      <c r="N176" s="22">
        <v>304</v>
      </c>
      <c r="O176" s="22">
        <v>709</v>
      </c>
      <c r="P176" s="22">
        <v>0</v>
      </c>
      <c r="Q176" s="21">
        <f>K176+N176</f>
        <v>591</v>
      </c>
      <c r="R176" s="21">
        <f>G176+H176+I176+J176+K176+N176+P176</f>
        <v>616</v>
      </c>
      <c r="S176" s="21">
        <f>L176+M176+O176</f>
        <v>1549</v>
      </c>
      <c r="T176" s="21">
        <f>F176-R176</f>
        <v>9384</v>
      </c>
      <c r="U176" s="24" t="s">
        <v>30</v>
      </c>
    </row>
    <row r="177" spans="1:21" ht="15.75" customHeight="1">
      <c r="A177" s="23">
        <v>162</v>
      </c>
      <c r="B177" s="23" t="s">
        <v>245</v>
      </c>
      <c r="C177" s="23" t="s">
        <v>57</v>
      </c>
      <c r="D177" s="23" t="s">
        <v>58</v>
      </c>
      <c r="E177" s="24" t="s">
        <v>29</v>
      </c>
      <c r="F177" s="21">
        <v>10000</v>
      </c>
      <c r="G177" s="22">
        <v>0</v>
      </c>
      <c r="H177" s="22">
        <v>25</v>
      </c>
      <c r="I177" s="22">
        <v>0</v>
      </c>
      <c r="J177" s="22">
        <f>300+300+5840.87</f>
        <v>6440.87</v>
      </c>
      <c r="K177" s="22">
        <f>F177*2.87%</f>
        <v>287</v>
      </c>
      <c r="L177" s="22">
        <f>F177*7.1%</f>
        <v>709.99999999999989</v>
      </c>
      <c r="M177" s="22">
        <v>130</v>
      </c>
      <c r="N177" s="22">
        <v>304</v>
      </c>
      <c r="O177" s="22">
        <v>709</v>
      </c>
      <c r="P177" s="22">
        <v>0</v>
      </c>
      <c r="Q177" s="21">
        <f>K177+N177</f>
        <v>591</v>
      </c>
      <c r="R177" s="21">
        <f>G177+H177+I177+J177+K177+N177+P177</f>
        <v>7056.87</v>
      </c>
      <c r="S177" s="21">
        <f>L177+M177+O177</f>
        <v>1549</v>
      </c>
      <c r="T177" s="21">
        <f>F177-R177</f>
        <v>2943.13</v>
      </c>
      <c r="U177" s="24" t="s">
        <v>30</v>
      </c>
    </row>
    <row r="178" spans="1:21" ht="15.75" customHeight="1">
      <c r="A178" s="19">
        <v>163</v>
      </c>
      <c r="B178" s="23" t="s">
        <v>246</v>
      </c>
      <c r="C178" s="23" t="s">
        <v>96</v>
      </c>
      <c r="D178" s="23" t="s">
        <v>49</v>
      </c>
      <c r="E178" s="24" t="s">
        <v>29</v>
      </c>
      <c r="F178" s="21">
        <v>18000</v>
      </c>
      <c r="G178" s="22">
        <v>0</v>
      </c>
      <c r="H178" s="22">
        <v>25</v>
      </c>
      <c r="I178" s="22">
        <v>0</v>
      </c>
      <c r="J178" s="22">
        <v>0</v>
      </c>
      <c r="K178" s="22">
        <f>F178*2.87%</f>
        <v>516.6</v>
      </c>
      <c r="L178" s="22">
        <f>F178*7.1%</f>
        <v>1277.9999999999998</v>
      </c>
      <c r="M178" s="22">
        <v>234</v>
      </c>
      <c r="N178" s="22">
        <v>547.20000000000005</v>
      </c>
      <c r="O178" s="22">
        <v>1276.2</v>
      </c>
      <c r="P178" s="22">
        <v>0</v>
      </c>
      <c r="Q178" s="21">
        <f>K178+N178</f>
        <v>1063.8000000000002</v>
      </c>
      <c r="R178" s="21">
        <f>G178+H178+I178+J178+K178+N178+P178</f>
        <v>1088.8000000000002</v>
      </c>
      <c r="S178" s="21">
        <f>L178+M178+O178</f>
        <v>2788.2</v>
      </c>
      <c r="T178" s="21">
        <f>F178-R178</f>
        <v>16911.2</v>
      </c>
      <c r="U178" s="24" t="s">
        <v>30</v>
      </c>
    </row>
    <row r="179" spans="1:21" ht="15.75" customHeight="1">
      <c r="A179" s="23">
        <v>164</v>
      </c>
      <c r="B179" s="23" t="s">
        <v>247</v>
      </c>
      <c r="C179" s="23" t="s">
        <v>248</v>
      </c>
      <c r="D179" s="23" t="s">
        <v>72</v>
      </c>
      <c r="E179" s="24" t="s">
        <v>29</v>
      </c>
      <c r="F179" s="21">
        <v>25000</v>
      </c>
      <c r="G179" s="22">
        <v>0</v>
      </c>
      <c r="H179" s="22">
        <v>25</v>
      </c>
      <c r="I179" s="22">
        <v>0</v>
      </c>
      <c r="J179" s="22">
        <v>0</v>
      </c>
      <c r="K179" s="22">
        <f>F179*2.87%</f>
        <v>717.5</v>
      </c>
      <c r="L179" s="22">
        <f>F179*7.1%</f>
        <v>1774.9999999999998</v>
      </c>
      <c r="M179" s="22">
        <v>325</v>
      </c>
      <c r="N179" s="22">
        <v>760</v>
      </c>
      <c r="O179" s="22">
        <v>1772.5000000000002</v>
      </c>
      <c r="P179" s="22">
        <v>0</v>
      </c>
      <c r="Q179" s="21">
        <f>K179+N179</f>
        <v>1477.5</v>
      </c>
      <c r="R179" s="21">
        <f>G179+H179+I179+J179+K179+N179+P179</f>
        <v>1502.5</v>
      </c>
      <c r="S179" s="21">
        <f>L179+M179+O179</f>
        <v>3872.5</v>
      </c>
      <c r="T179" s="21">
        <f>F179-R179</f>
        <v>23497.5</v>
      </c>
      <c r="U179" s="24" t="s">
        <v>30</v>
      </c>
    </row>
    <row r="180" spans="1:21" ht="15.75" customHeight="1">
      <c r="A180" s="23">
        <v>165</v>
      </c>
      <c r="B180" s="23" t="s">
        <v>249</v>
      </c>
      <c r="C180" s="23" t="s">
        <v>141</v>
      </c>
      <c r="D180" s="23" t="s">
        <v>58</v>
      </c>
      <c r="E180" s="24" t="s">
        <v>29</v>
      </c>
      <c r="F180" s="21">
        <v>15000</v>
      </c>
      <c r="G180" s="22">
        <v>0</v>
      </c>
      <c r="H180" s="22">
        <v>25</v>
      </c>
      <c r="I180" s="22">
        <v>0</v>
      </c>
      <c r="J180" s="22">
        <v>0</v>
      </c>
      <c r="K180" s="22">
        <f>F180*2.87%</f>
        <v>430.5</v>
      </c>
      <c r="L180" s="22">
        <f>F180*7.1%</f>
        <v>1065</v>
      </c>
      <c r="M180" s="22">
        <v>195</v>
      </c>
      <c r="N180" s="22">
        <v>456</v>
      </c>
      <c r="O180" s="22">
        <v>1063.5</v>
      </c>
      <c r="P180" s="22">
        <v>0</v>
      </c>
      <c r="Q180" s="21">
        <f>K180+N180</f>
        <v>886.5</v>
      </c>
      <c r="R180" s="21">
        <f>G180+H180+I180+J180+K180+N180+P180</f>
        <v>911.5</v>
      </c>
      <c r="S180" s="21">
        <f>L180+M180+O180</f>
        <v>2323.5</v>
      </c>
      <c r="T180" s="21">
        <f>F180-R180</f>
        <v>14088.5</v>
      </c>
      <c r="U180" s="24" t="s">
        <v>30</v>
      </c>
    </row>
    <row r="181" spans="1:21" ht="15.75" customHeight="1">
      <c r="A181" s="19">
        <v>166</v>
      </c>
      <c r="B181" s="23" t="s">
        <v>250</v>
      </c>
      <c r="C181" s="23" t="s">
        <v>71</v>
      </c>
      <c r="D181" s="23" t="s">
        <v>72</v>
      </c>
      <c r="E181" s="24" t="s">
        <v>29</v>
      </c>
      <c r="F181" s="21">
        <v>10000</v>
      </c>
      <c r="G181" s="22">
        <v>0</v>
      </c>
      <c r="H181" s="22">
        <v>25</v>
      </c>
      <c r="I181" s="22">
        <v>0</v>
      </c>
      <c r="J181" s="22">
        <v>0</v>
      </c>
      <c r="K181" s="22">
        <f>F181*2.87%</f>
        <v>287</v>
      </c>
      <c r="L181" s="22">
        <f>F181*7.1%</f>
        <v>709.99999999999989</v>
      </c>
      <c r="M181" s="22">
        <v>130</v>
      </c>
      <c r="N181" s="22">
        <v>304</v>
      </c>
      <c r="O181" s="22">
        <v>709</v>
      </c>
      <c r="P181" s="22">
        <v>1587.38</v>
      </c>
      <c r="Q181" s="21">
        <f>K181+N181</f>
        <v>591</v>
      </c>
      <c r="R181" s="21">
        <f>G181+H181+I181+J181+K181+N181+P181</f>
        <v>2203.38</v>
      </c>
      <c r="S181" s="21">
        <f>L181+M181+O181</f>
        <v>1549</v>
      </c>
      <c r="T181" s="21">
        <f>F181-R181</f>
        <v>7796.62</v>
      </c>
      <c r="U181" s="24" t="s">
        <v>36</v>
      </c>
    </row>
    <row r="182" spans="1:21" ht="15.75" customHeight="1">
      <c r="A182" s="23">
        <v>167</v>
      </c>
      <c r="B182" s="23" t="s">
        <v>251</v>
      </c>
      <c r="C182" s="23" t="s">
        <v>51</v>
      </c>
      <c r="D182" s="23" t="s">
        <v>52</v>
      </c>
      <c r="E182" s="24" t="s">
        <v>29</v>
      </c>
      <c r="F182" s="21">
        <v>20000</v>
      </c>
      <c r="G182" s="22">
        <v>0</v>
      </c>
      <c r="H182" s="22">
        <v>25</v>
      </c>
      <c r="I182" s="22">
        <v>0</v>
      </c>
      <c r="J182" s="22">
        <v>0</v>
      </c>
      <c r="K182" s="22">
        <f>F182*2.87%</f>
        <v>574</v>
      </c>
      <c r="L182" s="22">
        <f>F182*7.1%</f>
        <v>1419.9999999999998</v>
      </c>
      <c r="M182" s="22">
        <v>260</v>
      </c>
      <c r="N182" s="22">
        <v>608</v>
      </c>
      <c r="O182" s="22">
        <v>1418</v>
      </c>
      <c r="P182" s="22">
        <v>0</v>
      </c>
      <c r="Q182" s="21">
        <f>K182+N182</f>
        <v>1182</v>
      </c>
      <c r="R182" s="21">
        <f>G182+H182+I182+J182+K182+N182+P182</f>
        <v>1207</v>
      </c>
      <c r="S182" s="21">
        <f>L182+M182+O182</f>
        <v>3098</v>
      </c>
      <c r="T182" s="21">
        <f>F182-R182</f>
        <v>18793</v>
      </c>
      <c r="U182" s="24" t="s">
        <v>30</v>
      </c>
    </row>
    <row r="183" spans="1:21" ht="15.75" customHeight="1">
      <c r="A183" s="23">
        <v>168</v>
      </c>
      <c r="B183" s="23" t="s">
        <v>252</v>
      </c>
      <c r="C183" s="23" t="s">
        <v>57</v>
      </c>
      <c r="D183" s="23" t="s">
        <v>58</v>
      </c>
      <c r="E183" s="24" t="s">
        <v>29</v>
      </c>
      <c r="F183" s="21">
        <v>15000</v>
      </c>
      <c r="G183" s="22">
        <v>0</v>
      </c>
      <c r="H183" s="22">
        <v>25</v>
      </c>
      <c r="I183" s="22">
        <v>0</v>
      </c>
      <c r="J183" s="22">
        <v>0</v>
      </c>
      <c r="K183" s="22">
        <f>F183*2.87%</f>
        <v>430.5</v>
      </c>
      <c r="L183" s="22">
        <f>F183*7.1%</f>
        <v>1065</v>
      </c>
      <c r="M183" s="22">
        <v>195</v>
      </c>
      <c r="N183" s="22">
        <v>456</v>
      </c>
      <c r="O183" s="22">
        <v>1063.5</v>
      </c>
      <c r="P183" s="22">
        <v>0</v>
      </c>
      <c r="Q183" s="21">
        <f>K183+N183</f>
        <v>886.5</v>
      </c>
      <c r="R183" s="21">
        <f>G183+H183+I183+J183+K183+N183+P183</f>
        <v>911.5</v>
      </c>
      <c r="S183" s="21">
        <f>L183+M183+O183</f>
        <v>2323.5</v>
      </c>
      <c r="T183" s="21">
        <f>F183-R183</f>
        <v>14088.5</v>
      </c>
      <c r="U183" s="24" t="s">
        <v>36</v>
      </c>
    </row>
    <row r="184" spans="1:21" ht="15.75" customHeight="1">
      <c r="A184" s="19">
        <v>169</v>
      </c>
      <c r="B184" s="23" t="s">
        <v>253</v>
      </c>
      <c r="C184" s="23" t="s">
        <v>63</v>
      </c>
      <c r="D184" s="23" t="s">
        <v>58</v>
      </c>
      <c r="E184" s="24" t="s">
        <v>29</v>
      </c>
      <c r="F184" s="21">
        <v>25000</v>
      </c>
      <c r="G184" s="22">
        <v>0</v>
      </c>
      <c r="H184" s="22">
        <v>25</v>
      </c>
      <c r="I184" s="22">
        <v>0</v>
      </c>
      <c r="J184" s="22">
        <v>0</v>
      </c>
      <c r="K184" s="22">
        <f>F184*2.87%</f>
        <v>717.5</v>
      </c>
      <c r="L184" s="22">
        <f>F184*7.1%</f>
        <v>1774.9999999999998</v>
      </c>
      <c r="M184" s="22">
        <v>325</v>
      </c>
      <c r="N184" s="22">
        <v>760</v>
      </c>
      <c r="O184" s="22">
        <v>1772.5000000000002</v>
      </c>
      <c r="P184" s="22">
        <v>0</v>
      </c>
      <c r="Q184" s="21">
        <f>K184+N184</f>
        <v>1477.5</v>
      </c>
      <c r="R184" s="21">
        <f>G184+H184+I184+J184+K184+N184+P184</f>
        <v>1502.5</v>
      </c>
      <c r="S184" s="21">
        <f>L184+M184+O184</f>
        <v>3872.5</v>
      </c>
      <c r="T184" s="21">
        <f>F184-R184</f>
        <v>23497.5</v>
      </c>
      <c r="U184" s="24" t="s">
        <v>30</v>
      </c>
    </row>
    <row r="185" spans="1:21" ht="15.75" customHeight="1">
      <c r="A185" s="23">
        <v>170</v>
      </c>
      <c r="B185" s="23" t="s">
        <v>254</v>
      </c>
      <c r="C185" s="23" t="s">
        <v>77</v>
      </c>
      <c r="D185" s="23" t="s">
        <v>61</v>
      </c>
      <c r="E185" s="24" t="s">
        <v>29</v>
      </c>
      <c r="F185" s="21">
        <v>10000</v>
      </c>
      <c r="G185" s="22">
        <v>0</v>
      </c>
      <c r="H185" s="22">
        <v>25</v>
      </c>
      <c r="I185" s="22">
        <v>0</v>
      </c>
      <c r="J185" s="22">
        <v>0</v>
      </c>
      <c r="K185" s="22">
        <f>F185*2.87%</f>
        <v>287</v>
      </c>
      <c r="L185" s="22">
        <f>F185*7.1%</f>
        <v>709.99999999999989</v>
      </c>
      <c r="M185" s="22">
        <v>130</v>
      </c>
      <c r="N185" s="22">
        <v>304</v>
      </c>
      <c r="O185" s="22">
        <v>709</v>
      </c>
      <c r="P185" s="22">
        <v>0</v>
      </c>
      <c r="Q185" s="21">
        <f>K185+N185</f>
        <v>591</v>
      </c>
      <c r="R185" s="21">
        <f>G185+H185+I185+J185+K185+N185+P185</f>
        <v>616</v>
      </c>
      <c r="S185" s="21">
        <f>L185+M185+O185</f>
        <v>1549</v>
      </c>
      <c r="T185" s="21">
        <f>F185-R185</f>
        <v>9384</v>
      </c>
      <c r="U185" s="24" t="s">
        <v>30</v>
      </c>
    </row>
    <row r="186" spans="1:21" ht="15.75" customHeight="1">
      <c r="A186" s="23">
        <v>171</v>
      </c>
      <c r="B186" s="23" t="s">
        <v>255</v>
      </c>
      <c r="C186" s="23" t="s">
        <v>77</v>
      </c>
      <c r="D186" s="23" t="s">
        <v>78</v>
      </c>
      <c r="E186" s="24" t="s">
        <v>29</v>
      </c>
      <c r="F186" s="21">
        <v>10000</v>
      </c>
      <c r="G186" s="22">
        <v>0</v>
      </c>
      <c r="H186" s="22">
        <v>25</v>
      </c>
      <c r="I186" s="22">
        <v>0</v>
      </c>
      <c r="J186" s="22">
        <v>0</v>
      </c>
      <c r="K186" s="22">
        <f>F186*2.87%</f>
        <v>287</v>
      </c>
      <c r="L186" s="22">
        <f>F186*7.1%</f>
        <v>709.99999999999989</v>
      </c>
      <c r="M186" s="22">
        <v>130</v>
      </c>
      <c r="N186" s="22">
        <v>304</v>
      </c>
      <c r="O186" s="22">
        <v>709</v>
      </c>
      <c r="P186" s="22">
        <v>0</v>
      </c>
      <c r="Q186" s="21">
        <f>K186+N186</f>
        <v>591</v>
      </c>
      <c r="R186" s="21">
        <f>G186+H186+I186+J186+K186+N186+P186</f>
        <v>616</v>
      </c>
      <c r="S186" s="21">
        <f>L186+M186+O186</f>
        <v>1549</v>
      </c>
      <c r="T186" s="21">
        <f>F186-R186</f>
        <v>9384</v>
      </c>
      <c r="U186" s="24" t="s">
        <v>30</v>
      </c>
    </row>
    <row r="187" spans="1:21" ht="15.75" customHeight="1">
      <c r="A187" s="19">
        <v>172</v>
      </c>
      <c r="B187" s="23" t="s">
        <v>256</v>
      </c>
      <c r="C187" s="23" t="s">
        <v>77</v>
      </c>
      <c r="D187" s="23" t="s">
        <v>78</v>
      </c>
      <c r="E187" s="24" t="s">
        <v>29</v>
      </c>
      <c r="F187" s="21">
        <v>11000</v>
      </c>
      <c r="G187" s="22">
        <v>0</v>
      </c>
      <c r="H187" s="22">
        <v>25</v>
      </c>
      <c r="I187" s="22">
        <v>0</v>
      </c>
      <c r="J187" s="22">
        <v>0</v>
      </c>
      <c r="K187" s="22">
        <f>F187*2.87%</f>
        <v>315.7</v>
      </c>
      <c r="L187" s="22">
        <f>F187*7.1%</f>
        <v>780.99999999999989</v>
      </c>
      <c r="M187" s="22">
        <v>143</v>
      </c>
      <c r="N187" s="22">
        <v>334.4</v>
      </c>
      <c r="O187" s="22">
        <v>779.90000000000009</v>
      </c>
      <c r="P187" s="22">
        <v>0</v>
      </c>
      <c r="Q187" s="21">
        <f>K187+N187</f>
        <v>650.09999999999991</v>
      </c>
      <c r="R187" s="21">
        <f>G187+H187+I187+J187+K187+N187+P187</f>
        <v>675.09999999999991</v>
      </c>
      <c r="S187" s="21">
        <f>L187+M187+O187</f>
        <v>1703.9</v>
      </c>
      <c r="T187" s="21">
        <f>F187-R187</f>
        <v>10324.9</v>
      </c>
      <c r="U187" s="24" t="s">
        <v>30</v>
      </c>
    </row>
    <row r="188" spans="1:21" ht="15.75" customHeight="1">
      <c r="A188" s="23">
        <v>173</v>
      </c>
      <c r="B188" s="23" t="s">
        <v>257</v>
      </c>
      <c r="C188" s="23" t="s">
        <v>57</v>
      </c>
      <c r="D188" s="23" t="s">
        <v>58</v>
      </c>
      <c r="E188" s="24" t="s">
        <v>29</v>
      </c>
      <c r="F188" s="21">
        <v>15000</v>
      </c>
      <c r="G188" s="22">
        <v>0</v>
      </c>
      <c r="H188" s="22">
        <v>25</v>
      </c>
      <c r="I188" s="22">
        <v>0</v>
      </c>
      <c r="J188" s="22">
        <v>0</v>
      </c>
      <c r="K188" s="22">
        <f>F188*2.87%</f>
        <v>430.5</v>
      </c>
      <c r="L188" s="22">
        <f>F188*7.1%</f>
        <v>1065</v>
      </c>
      <c r="M188" s="22">
        <v>195</v>
      </c>
      <c r="N188" s="22">
        <v>456</v>
      </c>
      <c r="O188" s="22">
        <v>1063.5</v>
      </c>
      <c r="P188" s="22">
        <v>0</v>
      </c>
      <c r="Q188" s="21">
        <f>K188+N188</f>
        <v>886.5</v>
      </c>
      <c r="R188" s="21">
        <f>G188+H188+I188+J188+K188+N188+P188</f>
        <v>911.5</v>
      </c>
      <c r="S188" s="21">
        <f>L188+M188+O188</f>
        <v>2323.5</v>
      </c>
      <c r="T188" s="21">
        <f>F188-R188</f>
        <v>14088.5</v>
      </c>
      <c r="U188" s="24" t="s">
        <v>30</v>
      </c>
    </row>
    <row r="189" spans="1:21" ht="15.75" customHeight="1">
      <c r="A189" s="23">
        <v>174</v>
      </c>
      <c r="B189" s="23" t="s">
        <v>258</v>
      </c>
      <c r="C189" s="23" t="s">
        <v>60</v>
      </c>
      <c r="D189" s="23" t="s">
        <v>58</v>
      </c>
      <c r="E189" s="24" t="s">
        <v>29</v>
      </c>
      <c r="F189" s="21">
        <v>22000</v>
      </c>
      <c r="G189" s="22">
        <v>0</v>
      </c>
      <c r="H189" s="22">
        <v>25</v>
      </c>
      <c r="I189" s="22">
        <v>0</v>
      </c>
      <c r="J189" s="22">
        <v>0</v>
      </c>
      <c r="K189" s="22">
        <f>F189*2.87%</f>
        <v>631.4</v>
      </c>
      <c r="L189" s="22">
        <f>F189*7.1%</f>
        <v>1561.9999999999998</v>
      </c>
      <c r="M189" s="22">
        <v>286</v>
      </c>
      <c r="N189" s="22">
        <v>668.8</v>
      </c>
      <c r="O189" s="22">
        <v>1559.8000000000002</v>
      </c>
      <c r="P189" s="22">
        <v>0</v>
      </c>
      <c r="Q189" s="21">
        <f>K189+N189</f>
        <v>1300.1999999999998</v>
      </c>
      <c r="R189" s="21">
        <f>G189+H189+I189+J189+K189+N189+P189</f>
        <v>1325.1999999999998</v>
      </c>
      <c r="S189" s="21">
        <f>L189+M189+O189</f>
        <v>3407.8</v>
      </c>
      <c r="T189" s="21">
        <f>F189-R189</f>
        <v>20674.8</v>
      </c>
      <c r="U189" s="24" t="s">
        <v>36</v>
      </c>
    </row>
    <row r="190" spans="1:21" ht="15.75" customHeight="1">
      <c r="A190" s="19">
        <v>175</v>
      </c>
      <c r="B190" s="23" t="s">
        <v>259</v>
      </c>
      <c r="C190" s="23" t="s">
        <v>260</v>
      </c>
      <c r="D190" s="23" t="s">
        <v>72</v>
      </c>
      <c r="E190" s="24" t="s">
        <v>29</v>
      </c>
      <c r="F190" s="21">
        <v>60000</v>
      </c>
      <c r="G190" s="22">
        <v>3486.68</v>
      </c>
      <c r="H190" s="22">
        <v>25</v>
      </c>
      <c r="I190" s="22">
        <v>0</v>
      </c>
      <c r="J190" s="22">
        <f>500+300+5669.7</f>
        <v>6469.7</v>
      </c>
      <c r="K190" s="22">
        <f>F190*2.87%</f>
        <v>1722</v>
      </c>
      <c r="L190" s="22">
        <f>F190*7.1%</f>
        <v>4260</v>
      </c>
      <c r="M190" s="22">
        <v>780</v>
      </c>
      <c r="N190" s="22">
        <v>1824</v>
      </c>
      <c r="O190" s="22">
        <v>4254</v>
      </c>
      <c r="P190" s="22">
        <v>0</v>
      </c>
      <c r="Q190" s="21">
        <f>K190+N190</f>
        <v>3546</v>
      </c>
      <c r="R190" s="21">
        <f>G190+H190+I190+J190+K190+N190+P190</f>
        <v>13527.38</v>
      </c>
      <c r="S190" s="21">
        <f>L190+M190+O190</f>
        <v>9294</v>
      </c>
      <c r="T190" s="21">
        <f>F190-R190</f>
        <v>46472.62</v>
      </c>
      <c r="U190" s="24" t="s">
        <v>36</v>
      </c>
    </row>
    <row r="191" spans="1:21" ht="15.75" customHeight="1">
      <c r="A191" s="23">
        <v>176</v>
      </c>
      <c r="B191" s="23" t="s">
        <v>261</v>
      </c>
      <c r="C191" s="23" t="s">
        <v>68</v>
      </c>
      <c r="D191" s="23" t="s">
        <v>55</v>
      </c>
      <c r="E191" s="24" t="s">
        <v>29</v>
      </c>
      <c r="F191" s="21">
        <v>10000</v>
      </c>
      <c r="G191" s="22">
        <v>0</v>
      </c>
      <c r="H191" s="22">
        <v>25</v>
      </c>
      <c r="I191" s="22">
        <v>0</v>
      </c>
      <c r="J191" s="22">
        <f>300+1000+2424.66</f>
        <v>3724.66</v>
      </c>
      <c r="K191" s="22">
        <f>F191*2.87%</f>
        <v>287</v>
      </c>
      <c r="L191" s="22">
        <f>F191*7.1%</f>
        <v>709.99999999999989</v>
      </c>
      <c r="M191" s="22">
        <v>130</v>
      </c>
      <c r="N191" s="22">
        <v>304</v>
      </c>
      <c r="O191" s="22">
        <v>709</v>
      </c>
      <c r="P191" s="22">
        <v>0</v>
      </c>
      <c r="Q191" s="21">
        <f>K191+N191</f>
        <v>591</v>
      </c>
      <c r="R191" s="21">
        <f>G191+H191+I191+J191+K191+N191+P191</f>
        <v>4340.66</v>
      </c>
      <c r="S191" s="21">
        <f>L191+M191+O191</f>
        <v>1549</v>
      </c>
      <c r="T191" s="21">
        <f>F191-R191</f>
        <v>5659.34</v>
      </c>
      <c r="U191" s="24" t="s">
        <v>36</v>
      </c>
    </row>
    <row r="192" spans="1:21" ht="15.75" customHeight="1">
      <c r="A192" s="23">
        <v>177</v>
      </c>
      <c r="B192" s="23" t="s">
        <v>262</v>
      </c>
      <c r="C192" s="23" t="s">
        <v>63</v>
      </c>
      <c r="D192" s="23" t="s">
        <v>98</v>
      </c>
      <c r="E192" s="24" t="s">
        <v>29</v>
      </c>
      <c r="F192" s="21">
        <v>20000</v>
      </c>
      <c r="G192" s="22">
        <v>0</v>
      </c>
      <c r="H192" s="22">
        <v>25</v>
      </c>
      <c r="I192" s="22">
        <v>0</v>
      </c>
      <c r="J192" s="22">
        <v>0</v>
      </c>
      <c r="K192" s="22">
        <f>F192*2.87%</f>
        <v>574</v>
      </c>
      <c r="L192" s="22">
        <f>F192*7.1%</f>
        <v>1419.9999999999998</v>
      </c>
      <c r="M192" s="22">
        <v>260</v>
      </c>
      <c r="N192" s="22">
        <v>608</v>
      </c>
      <c r="O192" s="22">
        <v>1418</v>
      </c>
      <c r="P192" s="22">
        <v>0</v>
      </c>
      <c r="Q192" s="21">
        <f>K192+N192</f>
        <v>1182</v>
      </c>
      <c r="R192" s="21">
        <f>G192+H192+I192+J192+K192+N192+P192</f>
        <v>1207</v>
      </c>
      <c r="S192" s="21">
        <f>L192+M192+O192</f>
        <v>3098</v>
      </c>
      <c r="T192" s="21">
        <f>F192-R192</f>
        <v>18793</v>
      </c>
      <c r="U192" s="24" t="s">
        <v>30</v>
      </c>
    </row>
    <row r="193" spans="1:23" ht="15.75" customHeight="1">
      <c r="A193" s="19">
        <v>178</v>
      </c>
      <c r="B193" s="23" t="s">
        <v>263</v>
      </c>
      <c r="C193" s="23" t="s">
        <v>48</v>
      </c>
      <c r="D193" s="23" t="s">
        <v>61</v>
      </c>
      <c r="E193" s="24" t="s">
        <v>29</v>
      </c>
      <c r="F193" s="21">
        <v>24000</v>
      </c>
      <c r="G193" s="22">
        <v>0</v>
      </c>
      <c r="H193" s="22">
        <v>25</v>
      </c>
      <c r="I193" s="22">
        <v>0</v>
      </c>
      <c r="J193" s="22">
        <f>700+300+4610.23</f>
        <v>5610.23</v>
      </c>
      <c r="K193" s="22">
        <f>F193*2.87%</f>
        <v>688.8</v>
      </c>
      <c r="L193" s="22">
        <f>F193*7.1%</f>
        <v>1703.9999999999998</v>
      </c>
      <c r="M193" s="22">
        <v>312</v>
      </c>
      <c r="N193" s="22">
        <v>729.6</v>
      </c>
      <c r="O193" s="22">
        <v>1701.6000000000001</v>
      </c>
      <c r="P193" s="22">
        <v>0</v>
      </c>
      <c r="Q193" s="21">
        <f>K193+N193</f>
        <v>1418.4</v>
      </c>
      <c r="R193" s="21">
        <f>G193+H193+I193+J193+K193+N193+P193</f>
        <v>7053.63</v>
      </c>
      <c r="S193" s="21">
        <f>L193+M193+O193</f>
        <v>3717.6</v>
      </c>
      <c r="T193" s="21">
        <f>F193-R193</f>
        <v>16946.37</v>
      </c>
      <c r="U193" s="24" t="s">
        <v>36</v>
      </c>
    </row>
    <row r="194" spans="1:23" ht="15.75" customHeight="1">
      <c r="A194" s="23">
        <v>179</v>
      </c>
      <c r="B194" s="23" t="s">
        <v>264</v>
      </c>
      <c r="C194" s="23" t="s">
        <v>48</v>
      </c>
      <c r="D194" s="23" t="s">
        <v>78</v>
      </c>
      <c r="E194" s="24" t="s">
        <v>29</v>
      </c>
      <c r="F194" s="21">
        <v>20000</v>
      </c>
      <c r="G194" s="22">
        <v>0</v>
      </c>
      <c r="H194" s="22">
        <v>25</v>
      </c>
      <c r="I194" s="22">
        <v>0</v>
      </c>
      <c r="J194" s="22">
        <v>0</v>
      </c>
      <c r="K194" s="22">
        <f>F194*2.87%</f>
        <v>574</v>
      </c>
      <c r="L194" s="22">
        <f>F194*7.1%</f>
        <v>1419.9999999999998</v>
      </c>
      <c r="M194" s="22">
        <v>260</v>
      </c>
      <c r="N194" s="22">
        <v>608</v>
      </c>
      <c r="O194" s="22">
        <v>1418</v>
      </c>
      <c r="P194" s="22">
        <v>0</v>
      </c>
      <c r="Q194" s="21">
        <f>K194+N194</f>
        <v>1182</v>
      </c>
      <c r="R194" s="21">
        <f>G194+H194+I194+J194+K194+N194+P194</f>
        <v>1207</v>
      </c>
      <c r="S194" s="21">
        <f>L194+M194+O194</f>
        <v>3098</v>
      </c>
      <c r="T194" s="21">
        <f>F194-R194</f>
        <v>18793</v>
      </c>
      <c r="U194" s="24" t="s">
        <v>36</v>
      </c>
    </row>
    <row r="195" spans="1:23" ht="15.75" customHeight="1">
      <c r="A195" s="23">
        <v>180</v>
      </c>
      <c r="B195" s="23" t="s">
        <v>265</v>
      </c>
      <c r="C195" s="23" t="s">
        <v>77</v>
      </c>
      <c r="D195" s="23" t="s">
        <v>61</v>
      </c>
      <c r="E195" s="24" t="s">
        <v>29</v>
      </c>
      <c r="F195" s="21">
        <v>15000</v>
      </c>
      <c r="G195" s="22">
        <v>0</v>
      </c>
      <c r="H195" s="22">
        <v>25</v>
      </c>
      <c r="I195" s="22">
        <v>0</v>
      </c>
      <c r="J195" s="22">
        <v>0</v>
      </c>
      <c r="K195" s="22">
        <f>F195*2.87%</f>
        <v>430.5</v>
      </c>
      <c r="L195" s="22">
        <f>F195*7.1%</f>
        <v>1065</v>
      </c>
      <c r="M195" s="22">
        <v>195</v>
      </c>
      <c r="N195" s="22">
        <v>456</v>
      </c>
      <c r="O195" s="22">
        <v>1063.5</v>
      </c>
      <c r="P195" s="22">
        <v>0</v>
      </c>
      <c r="Q195" s="21">
        <f>K195+N195</f>
        <v>886.5</v>
      </c>
      <c r="R195" s="21">
        <f>G195+H195+I195+J195+K195+N195+P195</f>
        <v>911.5</v>
      </c>
      <c r="S195" s="21">
        <f>L195+M195+O195</f>
        <v>2323.5</v>
      </c>
      <c r="T195" s="21">
        <f>F195-R195</f>
        <v>14088.5</v>
      </c>
      <c r="U195" s="24" t="s">
        <v>30</v>
      </c>
    </row>
    <row r="196" spans="1:23" ht="15.75" customHeight="1">
      <c r="A196" s="19">
        <v>181</v>
      </c>
      <c r="B196" s="23" t="s">
        <v>266</v>
      </c>
      <c r="C196" s="23" t="s">
        <v>161</v>
      </c>
      <c r="D196" s="23" t="s">
        <v>98</v>
      </c>
      <c r="E196" s="24" t="s">
        <v>29</v>
      </c>
      <c r="F196" s="21">
        <v>14300</v>
      </c>
      <c r="G196" s="22">
        <v>0</v>
      </c>
      <c r="H196" s="22">
        <v>25</v>
      </c>
      <c r="I196" s="22">
        <v>0</v>
      </c>
      <c r="J196" s="22">
        <v>0</v>
      </c>
      <c r="K196" s="22">
        <f>F196*2.87%</f>
        <v>410.41</v>
      </c>
      <c r="L196" s="22">
        <f>F196*7.1%</f>
        <v>1015.3</v>
      </c>
      <c r="M196" s="22">
        <v>185.9</v>
      </c>
      <c r="N196" s="22">
        <v>434.72</v>
      </c>
      <c r="O196" s="22">
        <v>1013.8700000000001</v>
      </c>
      <c r="P196" s="22">
        <v>0</v>
      </c>
      <c r="Q196" s="21">
        <f>K196+N196</f>
        <v>845.13000000000011</v>
      </c>
      <c r="R196" s="21">
        <f>G196+H196+I196+J196+K196+N196+P196</f>
        <v>870.13000000000011</v>
      </c>
      <c r="S196" s="21">
        <f>L196+M196+O196</f>
        <v>2215.0700000000002</v>
      </c>
      <c r="T196" s="21">
        <f>F196-R196</f>
        <v>13429.869999999999</v>
      </c>
      <c r="U196" s="24" t="s">
        <v>30</v>
      </c>
    </row>
    <row r="197" spans="1:23" ht="15.75" customHeight="1">
      <c r="A197" s="23">
        <v>182</v>
      </c>
      <c r="B197" s="23" t="s">
        <v>267</v>
      </c>
      <c r="C197" s="23" t="s">
        <v>68</v>
      </c>
      <c r="D197" s="23" t="s">
        <v>69</v>
      </c>
      <c r="E197" s="24" t="s">
        <v>29</v>
      </c>
      <c r="F197" s="21">
        <v>15000</v>
      </c>
      <c r="G197" s="22">
        <v>0</v>
      </c>
      <c r="H197" s="22">
        <v>25</v>
      </c>
      <c r="I197" s="22">
        <v>0</v>
      </c>
      <c r="J197" s="22">
        <f>1000+300+2683.15</f>
        <v>3983.15</v>
      </c>
      <c r="K197" s="22">
        <f>F197*2.87%</f>
        <v>430.5</v>
      </c>
      <c r="L197" s="22">
        <f>F197*7.1%</f>
        <v>1065</v>
      </c>
      <c r="M197" s="22">
        <v>195</v>
      </c>
      <c r="N197" s="22">
        <v>456</v>
      </c>
      <c r="O197" s="22">
        <v>1063.5</v>
      </c>
      <c r="P197" s="22">
        <v>0</v>
      </c>
      <c r="Q197" s="21">
        <f>K197+N197</f>
        <v>886.5</v>
      </c>
      <c r="R197" s="21">
        <f>G197+H197+I197+J197+K197+N197+P197</f>
        <v>4894.6499999999996</v>
      </c>
      <c r="S197" s="21">
        <f>L197+M197+O197</f>
        <v>2323.5</v>
      </c>
      <c r="T197" s="21">
        <f>F197-R197</f>
        <v>10105.35</v>
      </c>
      <c r="U197" s="24" t="s">
        <v>30</v>
      </c>
    </row>
    <row r="198" spans="1:23" ht="15.75" customHeight="1">
      <c r="A198" s="23">
        <v>183</v>
      </c>
      <c r="B198" s="23" t="s">
        <v>268</v>
      </c>
      <c r="C198" s="23" t="s">
        <v>269</v>
      </c>
      <c r="D198" s="23" t="s">
        <v>52</v>
      </c>
      <c r="E198" s="24" t="s">
        <v>29</v>
      </c>
      <c r="F198" s="21">
        <v>18000</v>
      </c>
      <c r="G198" s="22">
        <v>0</v>
      </c>
      <c r="H198" s="22">
        <v>25</v>
      </c>
      <c r="I198" s="22">
        <v>0</v>
      </c>
      <c r="J198" s="22">
        <v>0</v>
      </c>
      <c r="K198" s="22">
        <f>F198*2.87%</f>
        <v>516.6</v>
      </c>
      <c r="L198" s="22">
        <f>F198*7.1%</f>
        <v>1277.9999999999998</v>
      </c>
      <c r="M198" s="22">
        <v>234</v>
      </c>
      <c r="N198" s="22">
        <v>547.20000000000005</v>
      </c>
      <c r="O198" s="22">
        <v>1276.2</v>
      </c>
      <c r="P198" s="22">
        <v>0</v>
      </c>
      <c r="Q198" s="21">
        <f>K198+N198</f>
        <v>1063.8000000000002</v>
      </c>
      <c r="R198" s="21">
        <f>G198+H198+I198+J198+K198+N198+P198</f>
        <v>1088.8000000000002</v>
      </c>
      <c r="S198" s="21">
        <f>L198+M198+O198</f>
        <v>2788.2</v>
      </c>
      <c r="T198" s="21">
        <f>F198-R198</f>
        <v>16911.2</v>
      </c>
      <c r="U198" s="24" t="s">
        <v>30</v>
      </c>
    </row>
    <row r="199" spans="1:23" ht="15.75" customHeight="1">
      <c r="A199" s="19">
        <v>184</v>
      </c>
      <c r="B199" s="23" t="s">
        <v>270</v>
      </c>
      <c r="C199" s="23" t="s">
        <v>77</v>
      </c>
      <c r="D199" s="23" t="s">
        <v>78</v>
      </c>
      <c r="E199" s="24" t="s">
        <v>29</v>
      </c>
      <c r="F199" s="21">
        <v>10000</v>
      </c>
      <c r="G199" s="22">
        <v>0</v>
      </c>
      <c r="H199" s="22">
        <v>25</v>
      </c>
      <c r="I199" s="22">
        <v>0</v>
      </c>
      <c r="J199" s="22">
        <v>0</v>
      </c>
      <c r="K199" s="22">
        <f>F199*2.87%</f>
        <v>287</v>
      </c>
      <c r="L199" s="22">
        <f>F199*7.1%</f>
        <v>709.99999999999989</v>
      </c>
      <c r="M199" s="22">
        <v>130</v>
      </c>
      <c r="N199" s="22">
        <v>304</v>
      </c>
      <c r="O199" s="22">
        <v>709</v>
      </c>
      <c r="P199" s="22">
        <v>0</v>
      </c>
      <c r="Q199" s="21">
        <f>K199+N199</f>
        <v>591</v>
      </c>
      <c r="R199" s="21">
        <f>G199+H199+I199+J199+K199+N199+P199</f>
        <v>616</v>
      </c>
      <c r="S199" s="21">
        <f>L199+M199+O199</f>
        <v>1549</v>
      </c>
      <c r="T199" s="21">
        <f>F199-R199</f>
        <v>9384</v>
      </c>
      <c r="U199" s="24" t="s">
        <v>30</v>
      </c>
    </row>
    <row r="200" spans="1:23" ht="15.75" customHeight="1">
      <c r="A200" s="23">
        <v>185</v>
      </c>
      <c r="B200" s="23" t="s">
        <v>271</v>
      </c>
      <c r="C200" s="23" t="s">
        <v>68</v>
      </c>
      <c r="D200" s="23" t="s">
        <v>69</v>
      </c>
      <c r="E200" s="24" t="s">
        <v>29</v>
      </c>
      <c r="F200" s="21">
        <v>25000</v>
      </c>
      <c r="G200" s="22">
        <v>0</v>
      </c>
      <c r="H200" s="22">
        <v>25</v>
      </c>
      <c r="I200" s="22">
        <v>0</v>
      </c>
      <c r="J200" s="22">
        <v>0</v>
      </c>
      <c r="K200" s="22">
        <f>F200*2.87%</f>
        <v>717.5</v>
      </c>
      <c r="L200" s="22">
        <f>F200*7.1%</f>
        <v>1774.9999999999998</v>
      </c>
      <c r="M200" s="22">
        <v>325</v>
      </c>
      <c r="N200" s="22">
        <v>760</v>
      </c>
      <c r="O200" s="22">
        <v>1772.5000000000002</v>
      </c>
      <c r="P200" s="22">
        <v>0</v>
      </c>
      <c r="Q200" s="21">
        <f>K200+N200</f>
        <v>1477.5</v>
      </c>
      <c r="R200" s="21">
        <f>G200+H200+I200+J200+K200+N200+P200</f>
        <v>1502.5</v>
      </c>
      <c r="S200" s="21">
        <f>L200+M200+O200</f>
        <v>3872.5</v>
      </c>
      <c r="T200" s="21">
        <f>F200-R200</f>
        <v>23497.5</v>
      </c>
      <c r="U200" s="24" t="s">
        <v>30</v>
      </c>
    </row>
    <row r="201" spans="1:23" ht="15.75" customHeight="1">
      <c r="A201" s="23">
        <v>186</v>
      </c>
      <c r="B201" s="23" t="s">
        <v>272</v>
      </c>
      <c r="C201" s="23" t="s">
        <v>57</v>
      </c>
      <c r="D201" s="23" t="s">
        <v>58</v>
      </c>
      <c r="E201" s="24" t="s">
        <v>29</v>
      </c>
      <c r="F201" s="21">
        <v>10000</v>
      </c>
      <c r="G201" s="22">
        <v>0</v>
      </c>
      <c r="H201" s="22">
        <v>25</v>
      </c>
      <c r="I201" s="22">
        <v>0</v>
      </c>
      <c r="J201" s="22">
        <f>300+300+1555.41</f>
        <v>2155.41</v>
      </c>
      <c r="K201" s="22">
        <f>F201*2.87%</f>
        <v>287</v>
      </c>
      <c r="L201" s="22">
        <f>F201*7.1%</f>
        <v>709.99999999999989</v>
      </c>
      <c r="M201" s="22">
        <v>130</v>
      </c>
      <c r="N201" s="22">
        <v>304</v>
      </c>
      <c r="O201" s="22">
        <v>709</v>
      </c>
      <c r="P201" s="22">
        <v>0</v>
      </c>
      <c r="Q201" s="21">
        <f>K201+N201</f>
        <v>591</v>
      </c>
      <c r="R201" s="21">
        <f>G201+H201+I201+J201+K201+N201+P201</f>
        <v>2771.41</v>
      </c>
      <c r="S201" s="21">
        <f>L201+M201+O201</f>
        <v>1549</v>
      </c>
      <c r="T201" s="21">
        <f>F201-R201</f>
        <v>7228.59</v>
      </c>
      <c r="U201" s="24" t="s">
        <v>30</v>
      </c>
    </row>
    <row r="202" spans="1:23" ht="15.75" customHeight="1">
      <c r="A202" s="19">
        <v>187</v>
      </c>
      <c r="B202" s="23" t="s">
        <v>273</v>
      </c>
      <c r="C202" s="23" t="s">
        <v>66</v>
      </c>
      <c r="D202" s="23" t="s">
        <v>58</v>
      </c>
      <c r="E202" s="24" t="s">
        <v>29</v>
      </c>
      <c r="F202" s="21">
        <v>25000</v>
      </c>
      <c r="G202" s="22">
        <v>0</v>
      </c>
      <c r="H202" s="22">
        <v>25</v>
      </c>
      <c r="I202" s="22">
        <v>0</v>
      </c>
      <c r="J202" s="22">
        <v>0</v>
      </c>
      <c r="K202" s="22">
        <f>F202*2.87%</f>
        <v>717.5</v>
      </c>
      <c r="L202" s="22">
        <f>F202*7.1%</f>
        <v>1774.9999999999998</v>
      </c>
      <c r="M202" s="22">
        <v>325</v>
      </c>
      <c r="N202" s="22">
        <v>760</v>
      </c>
      <c r="O202" s="22">
        <v>1772.5000000000002</v>
      </c>
      <c r="P202" s="22">
        <v>0</v>
      </c>
      <c r="Q202" s="21">
        <f>K202+N202</f>
        <v>1477.5</v>
      </c>
      <c r="R202" s="21">
        <f>G202+H202+I202+J202+K202+N202+P202</f>
        <v>1502.5</v>
      </c>
      <c r="S202" s="21">
        <f>L202+M202+O202</f>
        <v>3872.5</v>
      </c>
      <c r="T202" s="21">
        <f>F202-R202</f>
        <v>23497.5</v>
      </c>
      <c r="U202" s="24" t="s">
        <v>36</v>
      </c>
    </row>
    <row r="203" spans="1:23" ht="15.75" customHeight="1">
      <c r="A203" s="23">
        <v>188</v>
      </c>
      <c r="B203" s="23" t="s">
        <v>274</v>
      </c>
      <c r="C203" s="23" t="s">
        <v>77</v>
      </c>
      <c r="D203" s="23" t="s">
        <v>78</v>
      </c>
      <c r="E203" s="24" t="s">
        <v>29</v>
      </c>
      <c r="F203" s="21">
        <v>10000</v>
      </c>
      <c r="G203" s="22">
        <v>0</v>
      </c>
      <c r="H203" s="22">
        <v>25</v>
      </c>
      <c r="I203" s="22">
        <v>0</v>
      </c>
      <c r="J203" s="22">
        <v>0</v>
      </c>
      <c r="K203" s="22">
        <f>F203*2.87%</f>
        <v>287</v>
      </c>
      <c r="L203" s="22">
        <f>F203*7.1%</f>
        <v>709.99999999999989</v>
      </c>
      <c r="M203" s="22">
        <v>130</v>
      </c>
      <c r="N203" s="22">
        <v>304</v>
      </c>
      <c r="O203" s="22">
        <v>709</v>
      </c>
      <c r="P203" s="22">
        <v>3174.76</v>
      </c>
      <c r="Q203" s="21">
        <f>K203+N203</f>
        <v>591</v>
      </c>
      <c r="R203" s="21">
        <f>G203+H203+I203+J203+K203+N203+P203</f>
        <v>3790.76</v>
      </c>
      <c r="S203" s="21">
        <f>L203+M203+O203</f>
        <v>1549</v>
      </c>
      <c r="T203" s="21">
        <f>F203-R203</f>
        <v>6209.24</v>
      </c>
      <c r="U203" s="24" t="s">
        <v>30</v>
      </c>
    </row>
    <row r="204" spans="1:23" ht="15.75" customHeight="1">
      <c r="A204" s="23">
        <v>189</v>
      </c>
      <c r="B204" s="23" t="s">
        <v>275</v>
      </c>
      <c r="C204" s="23" t="s">
        <v>63</v>
      </c>
      <c r="D204" s="23" t="s">
        <v>98</v>
      </c>
      <c r="E204" s="24" t="s">
        <v>29</v>
      </c>
      <c r="F204" s="21">
        <v>20000</v>
      </c>
      <c r="G204" s="22">
        <v>0</v>
      </c>
      <c r="H204" s="22">
        <v>25</v>
      </c>
      <c r="I204" s="22">
        <v>0</v>
      </c>
      <c r="J204" s="22">
        <f>700+300+5365.04</f>
        <v>6365.04</v>
      </c>
      <c r="K204" s="22">
        <f>F204*2.87%</f>
        <v>574</v>
      </c>
      <c r="L204" s="22">
        <f>F204*7.1%</f>
        <v>1419.9999999999998</v>
      </c>
      <c r="M204" s="22">
        <v>260</v>
      </c>
      <c r="N204" s="22">
        <v>608</v>
      </c>
      <c r="O204" s="22">
        <v>1418</v>
      </c>
      <c r="P204" s="22">
        <v>1587.38</v>
      </c>
      <c r="Q204" s="21">
        <f>K204+N204</f>
        <v>1182</v>
      </c>
      <c r="R204" s="21">
        <f>G204+H204+I204+J204+K204+N204+P204</f>
        <v>9159.42</v>
      </c>
      <c r="S204" s="21">
        <f>L204+M204+O204</f>
        <v>3098</v>
      </c>
      <c r="T204" s="21">
        <f>F204-R204</f>
        <v>10840.58</v>
      </c>
      <c r="U204" s="24" t="s">
        <v>30</v>
      </c>
    </row>
    <row r="205" spans="1:23" ht="15.75" customHeight="1">
      <c r="A205" s="19">
        <v>190</v>
      </c>
      <c r="B205" s="23" t="s">
        <v>276</v>
      </c>
      <c r="C205" s="23" t="s">
        <v>51</v>
      </c>
      <c r="D205" s="23" t="s">
        <v>52</v>
      </c>
      <c r="E205" s="24" t="s">
        <v>29</v>
      </c>
      <c r="F205" s="21">
        <v>15000</v>
      </c>
      <c r="G205" s="22">
        <v>0</v>
      </c>
      <c r="H205" s="22">
        <v>25</v>
      </c>
      <c r="I205" s="22">
        <v>0</v>
      </c>
      <c r="J205" s="22">
        <v>0</v>
      </c>
      <c r="K205" s="22">
        <f>F205*2.87%</f>
        <v>430.5</v>
      </c>
      <c r="L205" s="22">
        <f>F205*7.1%</f>
        <v>1065</v>
      </c>
      <c r="M205" s="22">
        <v>195</v>
      </c>
      <c r="N205" s="22">
        <v>456</v>
      </c>
      <c r="O205" s="22">
        <v>1063.5</v>
      </c>
      <c r="P205" s="22">
        <v>0</v>
      </c>
      <c r="Q205" s="21">
        <f>K205+N205</f>
        <v>886.5</v>
      </c>
      <c r="R205" s="21">
        <f>G205+H205+I205+J205+K205+N205+P205</f>
        <v>911.5</v>
      </c>
      <c r="S205" s="21">
        <f>L205+M205+O205</f>
        <v>2323.5</v>
      </c>
      <c r="T205" s="21">
        <f>F205-R205</f>
        <v>14088.5</v>
      </c>
      <c r="U205" s="24" t="s">
        <v>30</v>
      </c>
      <c r="W205" s="28"/>
    </row>
    <row r="206" spans="1:23" ht="15.75" customHeight="1">
      <c r="A206" s="23">
        <v>191</v>
      </c>
      <c r="B206" s="23" t="s">
        <v>277</v>
      </c>
      <c r="C206" s="23" t="s">
        <v>60</v>
      </c>
      <c r="D206" s="23" t="s">
        <v>72</v>
      </c>
      <c r="E206" s="24" t="s">
        <v>29</v>
      </c>
      <c r="F206" s="21">
        <v>30000</v>
      </c>
      <c r="G206" s="22">
        <v>0</v>
      </c>
      <c r="H206" s="22">
        <v>25</v>
      </c>
      <c r="I206" s="22">
        <v>0</v>
      </c>
      <c r="J206" s="22">
        <v>0</v>
      </c>
      <c r="K206" s="22">
        <f>F206*2.87%</f>
        <v>861</v>
      </c>
      <c r="L206" s="22">
        <f>F206*7.1%</f>
        <v>2130</v>
      </c>
      <c r="M206" s="22">
        <v>390</v>
      </c>
      <c r="N206" s="22">
        <v>912</v>
      </c>
      <c r="O206" s="22">
        <v>2127</v>
      </c>
      <c r="P206" s="22">
        <v>0</v>
      </c>
      <c r="Q206" s="21">
        <f>K206+N206</f>
        <v>1773</v>
      </c>
      <c r="R206" s="21">
        <f>G206+H206+I206+J206+K206+N206+P206</f>
        <v>1798</v>
      </c>
      <c r="S206" s="21">
        <f>L206+M206+O206</f>
        <v>4647</v>
      </c>
      <c r="T206" s="21">
        <f>F206-R206</f>
        <v>28202</v>
      </c>
      <c r="U206" s="24" t="s">
        <v>30</v>
      </c>
    </row>
    <row r="207" spans="1:23" ht="15.75" customHeight="1">
      <c r="A207" s="23">
        <v>192</v>
      </c>
      <c r="B207" s="23" t="s">
        <v>278</v>
      </c>
      <c r="C207" s="23" t="s">
        <v>57</v>
      </c>
      <c r="D207" s="23" t="s">
        <v>58</v>
      </c>
      <c r="E207" s="24" t="s">
        <v>29</v>
      </c>
      <c r="F207" s="21">
        <v>10000</v>
      </c>
      <c r="G207" s="22">
        <v>0</v>
      </c>
      <c r="H207" s="22">
        <v>25</v>
      </c>
      <c r="I207" s="22">
        <v>0</v>
      </c>
      <c r="J207" s="22">
        <v>0</v>
      </c>
      <c r="K207" s="22">
        <f>F207*2.87%</f>
        <v>287</v>
      </c>
      <c r="L207" s="22">
        <f>F207*7.1%</f>
        <v>709.99999999999989</v>
      </c>
      <c r="M207" s="22">
        <v>130</v>
      </c>
      <c r="N207" s="22">
        <v>304</v>
      </c>
      <c r="O207" s="22">
        <v>709</v>
      </c>
      <c r="P207" s="22">
        <v>0</v>
      </c>
      <c r="Q207" s="21">
        <f>K207+N207</f>
        <v>591</v>
      </c>
      <c r="R207" s="21">
        <f>G207+H207+I207+J207+K207+N207+P207</f>
        <v>616</v>
      </c>
      <c r="S207" s="21">
        <f>L207+M207+O207</f>
        <v>1549</v>
      </c>
      <c r="T207" s="21">
        <f>F207-R207</f>
        <v>9384</v>
      </c>
      <c r="U207" s="24" t="s">
        <v>30</v>
      </c>
    </row>
    <row r="208" spans="1:23" ht="15.75" customHeight="1">
      <c r="A208" s="19">
        <v>193</v>
      </c>
      <c r="B208" s="23" t="s">
        <v>279</v>
      </c>
      <c r="C208" s="23" t="s">
        <v>77</v>
      </c>
      <c r="D208" s="23" t="s">
        <v>61</v>
      </c>
      <c r="E208" s="24" t="s">
        <v>29</v>
      </c>
      <c r="F208" s="21">
        <v>15000</v>
      </c>
      <c r="G208" s="22">
        <v>0</v>
      </c>
      <c r="H208" s="22">
        <v>25</v>
      </c>
      <c r="I208" s="22">
        <v>0</v>
      </c>
      <c r="J208" s="22">
        <v>0</v>
      </c>
      <c r="K208" s="22">
        <f>F208*2.87%</f>
        <v>430.5</v>
      </c>
      <c r="L208" s="22">
        <f>F208*7.1%</f>
        <v>1065</v>
      </c>
      <c r="M208" s="22">
        <v>195</v>
      </c>
      <c r="N208" s="22">
        <v>456</v>
      </c>
      <c r="O208" s="22">
        <v>1063.5</v>
      </c>
      <c r="P208" s="22">
        <v>0</v>
      </c>
      <c r="Q208" s="21">
        <f>K208+N208</f>
        <v>886.5</v>
      </c>
      <c r="R208" s="21">
        <f>G208+H208+I208+J208+K208+N208+P208</f>
        <v>911.5</v>
      </c>
      <c r="S208" s="21">
        <f>L208+M208+O208</f>
        <v>2323.5</v>
      </c>
      <c r="T208" s="21">
        <f>F208-R208</f>
        <v>14088.5</v>
      </c>
      <c r="U208" s="24" t="s">
        <v>30</v>
      </c>
    </row>
    <row r="209" spans="1:21" ht="15.75" customHeight="1">
      <c r="A209" s="23">
        <v>194</v>
      </c>
      <c r="B209" s="23" t="s">
        <v>280</v>
      </c>
      <c r="C209" s="23" t="s">
        <v>66</v>
      </c>
      <c r="D209" s="23" t="s">
        <v>61</v>
      </c>
      <c r="E209" s="24" t="s">
        <v>29</v>
      </c>
      <c r="F209" s="21">
        <v>25000</v>
      </c>
      <c r="G209" s="22">
        <v>0</v>
      </c>
      <c r="H209" s="22">
        <v>25</v>
      </c>
      <c r="I209" s="22">
        <v>0</v>
      </c>
      <c r="J209" s="22">
        <v>0</v>
      </c>
      <c r="K209" s="22">
        <f>F209*2.87%</f>
        <v>717.5</v>
      </c>
      <c r="L209" s="22">
        <f>F209*7.1%</f>
        <v>1774.9999999999998</v>
      </c>
      <c r="M209" s="22">
        <v>325</v>
      </c>
      <c r="N209" s="22">
        <v>760</v>
      </c>
      <c r="O209" s="22">
        <v>1772.5000000000002</v>
      </c>
      <c r="P209" s="22">
        <v>0</v>
      </c>
      <c r="Q209" s="21">
        <f>K209+N209</f>
        <v>1477.5</v>
      </c>
      <c r="R209" s="21">
        <f>G209+H209+I209+J209+K209+N209+P209</f>
        <v>1502.5</v>
      </c>
      <c r="S209" s="21">
        <f>L209+M209+O209</f>
        <v>3872.5</v>
      </c>
      <c r="T209" s="21">
        <f>F209-R209</f>
        <v>23497.5</v>
      </c>
      <c r="U209" s="24" t="s">
        <v>30</v>
      </c>
    </row>
    <row r="210" spans="1:21" ht="15.75" customHeight="1">
      <c r="A210" s="23">
        <v>195</v>
      </c>
      <c r="B210" s="23" t="s">
        <v>281</v>
      </c>
      <c r="C210" s="23" t="s">
        <v>77</v>
      </c>
      <c r="D210" s="23" t="s">
        <v>78</v>
      </c>
      <c r="E210" s="24" t="s">
        <v>29</v>
      </c>
      <c r="F210" s="21">
        <v>10000</v>
      </c>
      <c r="G210" s="22">
        <v>0</v>
      </c>
      <c r="H210" s="22">
        <v>25</v>
      </c>
      <c r="I210" s="22">
        <v>0</v>
      </c>
      <c r="J210" s="22">
        <v>0</v>
      </c>
      <c r="K210" s="22">
        <f>F210*2.87%</f>
        <v>287</v>
      </c>
      <c r="L210" s="22">
        <f>F210*7.1%</f>
        <v>709.99999999999989</v>
      </c>
      <c r="M210" s="22">
        <v>130</v>
      </c>
      <c r="N210" s="22">
        <v>304</v>
      </c>
      <c r="O210" s="22">
        <v>709</v>
      </c>
      <c r="P210" s="22">
        <v>0</v>
      </c>
      <c r="Q210" s="21">
        <f>K210+N210</f>
        <v>591</v>
      </c>
      <c r="R210" s="21">
        <f>G210+H210+I210+J210+K210+N210+P210</f>
        <v>616</v>
      </c>
      <c r="S210" s="21">
        <f>L210+M210+O210</f>
        <v>1549</v>
      </c>
      <c r="T210" s="21">
        <f>F210-R210</f>
        <v>9384</v>
      </c>
      <c r="U210" s="24" t="s">
        <v>30</v>
      </c>
    </row>
    <row r="211" spans="1:21" ht="15.75" customHeight="1">
      <c r="A211" s="19">
        <v>196</v>
      </c>
      <c r="B211" s="23" t="s">
        <v>282</v>
      </c>
      <c r="C211" s="23" t="s">
        <v>63</v>
      </c>
      <c r="D211" s="23" t="s">
        <v>98</v>
      </c>
      <c r="E211" s="24" t="s">
        <v>29</v>
      </c>
      <c r="F211" s="21">
        <v>31500</v>
      </c>
      <c r="G211" s="22">
        <v>0</v>
      </c>
      <c r="H211" s="22">
        <v>25</v>
      </c>
      <c r="I211" s="22">
        <v>0</v>
      </c>
      <c r="J211" s="22">
        <v>0</v>
      </c>
      <c r="K211" s="22">
        <f>F211*2.87%</f>
        <v>904.05</v>
      </c>
      <c r="L211" s="22">
        <f>F211*7.1%</f>
        <v>2236.5</v>
      </c>
      <c r="M211" s="22">
        <v>409.5</v>
      </c>
      <c r="N211" s="22">
        <v>957.6</v>
      </c>
      <c r="O211" s="22">
        <v>2233.3500000000004</v>
      </c>
      <c r="P211" s="22">
        <v>0</v>
      </c>
      <c r="Q211" s="21">
        <f>K211+N211</f>
        <v>1861.65</v>
      </c>
      <c r="R211" s="21">
        <f>G211+H211+I211+J211+K211+N211+P211</f>
        <v>1886.65</v>
      </c>
      <c r="S211" s="21">
        <f>L211+M211+O211</f>
        <v>4879.3500000000004</v>
      </c>
      <c r="T211" s="21">
        <f>F211-R211</f>
        <v>29613.35</v>
      </c>
      <c r="U211" s="24" t="s">
        <v>30</v>
      </c>
    </row>
    <row r="212" spans="1:21" ht="15.75" customHeight="1">
      <c r="A212" s="23">
        <v>197</v>
      </c>
      <c r="B212" s="23" t="s">
        <v>283</v>
      </c>
      <c r="C212" s="23" t="s">
        <v>88</v>
      </c>
      <c r="D212" s="23" t="s">
        <v>58</v>
      </c>
      <c r="E212" s="24" t="s">
        <v>29</v>
      </c>
      <c r="F212" s="21">
        <v>15000</v>
      </c>
      <c r="G212" s="22">
        <v>0</v>
      </c>
      <c r="H212" s="22">
        <v>25</v>
      </c>
      <c r="I212" s="22">
        <v>0</v>
      </c>
      <c r="J212" s="22">
        <v>0</v>
      </c>
      <c r="K212" s="22">
        <f>F212*2.87%</f>
        <v>430.5</v>
      </c>
      <c r="L212" s="22">
        <f>F212*7.1%</f>
        <v>1065</v>
      </c>
      <c r="M212" s="22">
        <v>195</v>
      </c>
      <c r="N212" s="22">
        <v>456</v>
      </c>
      <c r="O212" s="22">
        <v>1063.5</v>
      </c>
      <c r="P212" s="22">
        <v>0</v>
      </c>
      <c r="Q212" s="21">
        <f>K212+N212</f>
        <v>886.5</v>
      </c>
      <c r="R212" s="21">
        <f>G212+H212+I212+J212+K212+N212+P212</f>
        <v>911.5</v>
      </c>
      <c r="S212" s="21">
        <f>L212+M212+O212</f>
        <v>2323.5</v>
      </c>
      <c r="T212" s="21">
        <f>F212-R212</f>
        <v>14088.5</v>
      </c>
      <c r="U212" s="24" t="s">
        <v>30</v>
      </c>
    </row>
    <row r="213" spans="1:21" ht="15.75" customHeight="1">
      <c r="A213" s="23">
        <v>198</v>
      </c>
      <c r="B213" s="23" t="s">
        <v>284</v>
      </c>
      <c r="C213" s="23" t="s">
        <v>66</v>
      </c>
      <c r="D213" s="23" t="s">
        <v>61</v>
      </c>
      <c r="E213" s="24" t="s">
        <v>29</v>
      </c>
      <c r="F213" s="21">
        <v>20000</v>
      </c>
      <c r="G213" s="22">
        <v>0</v>
      </c>
      <c r="H213" s="22">
        <v>25</v>
      </c>
      <c r="I213" s="22">
        <v>0</v>
      </c>
      <c r="J213" s="22">
        <f>700+300+4327.79+3790</f>
        <v>9117.7900000000009</v>
      </c>
      <c r="K213" s="22">
        <f>F213*2.87%</f>
        <v>574</v>
      </c>
      <c r="L213" s="22">
        <f>F213*7.1%</f>
        <v>1419.9999999999998</v>
      </c>
      <c r="M213" s="22">
        <v>260</v>
      </c>
      <c r="N213" s="22">
        <v>608</v>
      </c>
      <c r="O213" s="22">
        <v>1418</v>
      </c>
      <c r="P213" s="22">
        <v>0</v>
      </c>
      <c r="Q213" s="21">
        <f>K213+N213</f>
        <v>1182</v>
      </c>
      <c r="R213" s="21">
        <f>G213+H213+I213+J213+K213+N213+P213</f>
        <v>10324.790000000001</v>
      </c>
      <c r="S213" s="21">
        <f>L213+M213+O213</f>
        <v>3098</v>
      </c>
      <c r="T213" s="21">
        <f>F213-R213</f>
        <v>9675.2099999999991</v>
      </c>
      <c r="U213" s="24" t="s">
        <v>30</v>
      </c>
    </row>
    <row r="214" spans="1:21" ht="15.75" customHeight="1">
      <c r="A214" s="19">
        <v>199</v>
      </c>
      <c r="B214" s="23" t="s">
        <v>285</v>
      </c>
      <c r="C214" s="23" t="s">
        <v>88</v>
      </c>
      <c r="D214" s="23" t="s">
        <v>58</v>
      </c>
      <c r="E214" s="24" t="s">
        <v>29</v>
      </c>
      <c r="F214" s="21">
        <v>15000</v>
      </c>
      <c r="G214" s="22">
        <v>0</v>
      </c>
      <c r="H214" s="22">
        <v>25</v>
      </c>
      <c r="I214" s="22">
        <v>0</v>
      </c>
      <c r="J214" s="22">
        <f>700+300+5855.07</f>
        <v>6855.07</v>
      </c>
      <c r="K214" s="22">
        <f>F214*2.87%</f>
        <v>430.5</v>
      </c>
      <c r="L214" s="22">
        <f>F214*7.1%</f>
        <v>1065</v>
      </c>
      <c r="M214" s="22">
        <v>195</v>
      </c>
      <c r="N214" s="22">
        <v>456</v>
      </c>
      <c r="O214" s="22">
        <v>1063.5</v>
      </c>
      <c r="P214" s="22">
        <v>0</v>
      </c>
      <c r="Q214" s="21">
        <f>K214+N214</f>
        <v>886.5</v>
      </c>
      <c r="R214" s="21">
        <f>G214+H214+I214+J214+K214+N214+P214</f>
        <v>7766.57</v>
      </c>
      <c r="S214" s="21">
        <f>L214+M214+O214</f>
        <v>2323.5</v>
      </c>
      <c r="T214" s="21">
        <f>F214-R214</f>
        <v>7233.43</v>
      </c>
      <c r="U214" s="24" t="s">
        <v>30</v>
      </c>
    </row>
    <row r="215" spans="1:21" ht="15.75" customHeight="1">
      <c r="A215" s="23">
        <v>200</v>
      </c>
      <c r="B215" s="23" t="s">
        <v>286</v>
      </c>
      <c r="C215" s="23" t="s">
        <v>287</v>
      </c>
      <c r="D215" s="23" t="s">
        <v>58</v>
      </c>
      <c r="E215" s="24" t="s">
        <v>29</v>
      </c>
      <c r="F215" s="21">
        <v>25000</v>
      </c>
      <c r="G215" s="22">
        <v>0</v>
      </c>
      <c r="H215" s="22">
        <v>25</v>
      </c>
      <c r="I215" s="22">
        <v>0</v>
      </c>
      <c r="J215" s="22">
        <v>0</v>
      </c>
      <c r="K215" s="22">
        <f>F215*2.87%</f>
        <v>717.5</v>
      </c>
      <c r="L215" s="22">
        <f>F215*7.1%</f>
        <v>1774.9999999999998</v>
      </c>
      <c r="M215" s="22">
        <v>325</v>
      </c>
      <c r="N215" s="22">
        <v>760</v>
      </c>
      <c r="O215" s="22">
        <v>1772.5000000000002</v>
      </c>
      <c r="P215" s="22">
        <v>0</v>
      </c>
      <c r="Q215" s="21">
        <f>K215+N215</f>
        <v>1477.5</v>
      </c>
      <c r="R215" s="21">
        <f>G215+H215+I215+J215+K215+N215+P215</f>
        <v>1502.5</v>
      </c>
      <c r="S215" s="21">
        <f>L215+M215+O215</f>
        <v>3872.5</v>
      </c>
      <c r="T215" s="21">
        <f>F215-R215</f>
        <v>23497.5</v>
      </c>
      <c r="U215" s="24" t="s">
        <v>36</v>
      </c>
    </row>
    <row r="216" spans="1:21" ht="15.75" customHeight="1">
      <c r="A216" s="23">
        <v>201</v>
      </c>
      <c r="B216" s="23" t="s">
        <v>288</v>
      </c>
      <c r="C216" s="23" t="s">
        <v>71</v>
      </c>
      <c r="D216" s="23" t="s">
        <v>72</v>
      </c>
      <c r="E216" s="24" t="s">
        <v>29</v>
      </c>
      <c r="F216" s="21">
        <v>15000</v>
      </c>
      <c r="G216" s="22">
        <v>0</v>
      </c>
      <c r="H216" s="22">
        <v>25</v>
      </c>
      <c r="I216" s="22">
        <v>0</v>
      </c>
      <c r="J216" s="22">
        <v>0</v>
      </c>
      <c r="K216" s="22">
        <f>F216*2.87%</f>
        <v>430.5</v>
      </c>
      <c r="L216" s="22">
        <f>F216*7.1%</f>
        <v>1065</v>
      </c>
      <c r="M216" s="22">
        <v>195</v>
      </c>
      <c r="N216" s="22">
        <v>456</v>
      </c>
      <c r="O216" s="22">
        <v>1063.5</v>
      </c>
      <c r="P216" s="22">
        <v>0</v>
      </c>
      <c r="Q216" s="21">
        <f>K216+N216</f>
        <v>886.5</v>
      </c>
      <c r="R216" s="21">
        <f>G216+H216+I216+J216+K216+N216+P216</f>
        <v>911.5</v>
      </c>
      <c r="S216" s="21">
        <f>L216+M216+O216</f>
        <v>2323.5</v>
      </c>
      <c r="T216" s="21">
        <f>F216-R216</f>
        <v>14088.5</v>
      </c>
      <c r="U216" s="24" t="s">
        <v>36</v>
      </c>
    </row>
    <row r="217" spans="1:21" ht="15.75" customHeight="1">
      <c r="A217" s="19">
        <v>202</v>
      </c>
      <c r="B217" s="23" t="s">
        <v>289</v>
      </c>
      <c r="C217" s="23" t="s">
        <v>68</v>
      </c>
      <c r="D217" s="23" t="s">
        <v>55</v>
      </c>
      <c r="E217" s="24" t="s">
        <v>29</v>
      </c>
      <c r="F217" s="21">
        <v>26000</v>
      </c>
      <c r="G217" s="22">
        <v>0</v>
      </c>
      <c r="H217" s="22">
        <v>25</v>
      </c>
      <c r="I217" s="22">
        <v>0</v>
      </c>
      <c r="J217" s="22">
        <v>0</v>
      </c>
      <c r="K217" s="22">
        <f>F217*2.87%</f>
        <v>746.2</v>
      </c>
      <c r="L217" s="22">
        <f>F217*7.1%</f>
        <v>1845.9999999999998</v>
      </c>
      <c r="M217" s="22">
        <v>338</v>
      </c>
      <c r="N217" s="22">
        <v>790.4</v>
      </c>
      <c r="O217" s="22">
        <v>1843.4</v>
      </c>
      <c r="P217" s="22">
        <v>0</v>
      </c>
      <c r="Q217" s="21">
        <f>K217+N217</f>
        <v>1536.6</v>
      </c>
      <c r="R217" s="21">
        <f>G217+H217+I217+J217+K217+N217+P217</f>
        <v>1561.6</v>
      </c>
      <c r="S217" s="21">
        <f>L217+M217+O217</f>
        <v>4027.4</v>
      </c>
      <c r="T217" s="21">
        <f>F217-R217</f>
        <v>24438.400000000001</v>
      </c>
      <c r="U217" s="24" t="s">
        <v>36</v>
      </c>
    </row>
    <row r="218" spans="1:21" ht="15.75" customHeight="1">
      <c r="A218" s="23">
        <v>203</v>
      </c>
      <c r="B218" s="23" t="s">
        <v>290</v>
      </c>
      <c r="C218" s="23" t="s">
        <v>291</v>
      </c>
      <c r="D218" s="23" t="s">
        <v>86</v>
      </c>
      <c r="E218" s="24" t="s">
        <v>29</v>
      </c>
      <c r="F218" s="21">
        <v>40000</v>
      </c>
      <c r="G218" s="22">
        <v>442.65</v>
      </c>
      <c r="H218" s="22">
        <v>25</v>
      </c>
      <c r="I218" s="22">
        <v>0</v>
      </c>
      <c r="J218" s="22">
        <v>0</v>
      </c>
      <c r="K218" s="22">
        <f>F218*2.87%</f>
        <v>1148</v>
      </c>
      <c r="L218" s="22">
        <f>F218*7.1%</f>
        <v>2839.9999999999995</v>
      </c>
      <c r="M218" s="22">
        <v>520</v>
      </c>
      <c r="N218" s="22">
        <v>1216</v>
      </c>
      <c r="O218" s="22">
        <v>2836</v>
      </c>
      <c r="P218" s="22">
        <v>0</v>
      </c>
      <c r="Q218" s="21">
        <f>K218+N218</f>
        <v>2364</v>
      </c>
      <c r="R218" s="21">
        <f>G218+H218+I218+J218+K218+N218+P218</f>
        <v>2831.65</v>
      </c>
      <c r="S218" s="21">
        <f>L218+M218+O218</f>
        <v>6196</v>
      </c>
      <c r="T218" s="21">
        <f>F218-R218</f>
        <v>37168.35</v>
      </c>
      <c r="U218" s="24" t="s">
        <v>36</v>
      </c>
    </row>
    <row r="219" spans="1:21" ht="15.75" customHeight="1">
      <c r="A219" s="23">
        <v>204</v>
      </c>
      <c r="B219" s="23" t="s">
        <v>292</v>
      </c>
      <c r="C219" s="23" t="s">
        <v>71</v>
      </c>
      <c r="D219" s="23" t="s">
        <v>72</v>
      </c>
      <c r="E219" s="24" t="s">
        <v>29</v>
      </c>
      <c r="F219" s="21">
        <v>18000</v>
      </c>
      <c r="G219" s="22">
        <v>0</v>
      </c>
      <c r="H219" s="22">
        <v>25</v>
      </c>
      <c r="I219" s="22">
        <v>0</v>
      </c>
      <c r="J219" s="22">
        <v>0</v>
      </c>
      <c r="K219" s="22">
        <f>F219*2.87%</f>
        <v>516.6</v>
      </c>
      <c r="L219" s="22">
        <f>F219*7.1%</f>
        <v>1277.9999999999998</v>
      </c>
      <c r="M219" s="22">
        <v>234</v>
      </c>
      <c r="N219" s="22">
        <v>547.20000000000005</v>
      </c>
      <c r="O219" s="22">
        <v>1276.2</v>
      </c>
      <c r="P219" s="22">
        <v>0</v>
      </c>
      <c r="Q219" s="21">
        <f>K219+N219</f>
        <v>1063.8000000000002</v>
      </c>
      <c r="R219" s="21">
        <f>G219+H219+I219+J219+K219+N219+P219</f>
        <v>1088.8000000000002</v>
      </c>
      <c r="S219" s="21">
        <f>L219+M219+O219</f>
        <v>2788.2</v>
      </c>
      <c r="T219" s="21">
        <f>F219-R219</f>
        <v>16911.2</v>
      </c>
      <c r="U219" s="24" t="s">
        <v>36</v>
      </c>
    </row>
    <row r="220" spans="1:21" ht="15.6">
      <c r="A220" s="19">
        <v>205</v>
      </c>
      <c r="B220" s="23" t="s">
        <v>293</v>
      </c>
      <c r="C220" s="23" t="s">
        <v>63</v>
      </c>
      <c r="D220" s="23" t="s">
        <v>98</v>
      </c>
      <c r="E220" s="24" t="s">
        <v>29</v>
      </c>
      <c r="F220" s="21">
        <v>20000</v>
      </c>
      <c r="G220" s="22">
        <v>0</v>
      </c>
      <c r="H220" s="22">
        <v>25</v>
      </c>
      <c r="I220" s="22">
        <v>0</v>
      </c>
      <c r="J220" s="22">
        <f>1000+300+902.55</f>
        <v>2202.5500000000002</v>
      </c>
      <c r="K220" s="22">
        <f>F220*2.87%</f>
        <v>574</v>
      </c>
      <c r="L220" s="22">
        <f>F220*7.1%</f>
        <v>1419.9999999999998</v>
      </c>
      <c r="M220" s="22">
        <v>260</v>
      </c>
      <c r="N220" s="22">
        <v>608</v>
      </c>
      <c r="O220" s="22">
        <v>1418</v>
      </c>
      <c r="P220" s="22">
        <v>0</v>
      </c>
      <c r="Q220" s="21">
        <f>K220+N220</f>
        <v>1182</v>
      </c>
      <c r="R220" s="21">
        <f>G220+H220+I220+J220+K220+N220+P220</f>
        <v>3409.55</v>
      </c>
      <c r="S220" s="21">
        <f>L220+M220+O220</f>
        <v>3098</v>
      </c>
      <c r="T220" s="21">
        <f>F220-R220</f>
        <v>16590.45</v>
      </c>
      <c r="U220" s="24" t="s">
        <v>30</v>
      </c>
    </row>
    <row r="221" spans="1:21" ht="15.75" customHeight="1">
      <c r="A221" s="23">
        <v>206</v>
      </c>
      <c r="B221" s="23" t="s">
        <v>294</v>
      </c>
      <c r="C221" s="23" t="s">
        <v>66</v>
      </c>
      <c r="D221" s="23" t="s">
        <v>61</v>
      </c>
      <c r="E221" s="24" t="s">
        <v>29</v>
      </c>
      <c r="F221" s="21">
        <v>15000</v>
      </c>
      <c r="G221" s="22">
        <v>0</v>
      </c>
      <c r="H221" s="22">
        <v>25</v>
      </c>
      <c r="I221" s="22">
        <v>0</v>
      </c>
      <c r="J221" s="22">
        <f>700+300.07+2010.92+1125.4</f>
        <v>4136.3899999999994</v>
      </c>
      <c r="K221" s="22">
        <f>F221*2.87%</f>
        <v>430.5</v>
      </c>
      <c r="L221" s="22">
        <f>F221*7.1%</f>
        <v>1065</v>
      </c>
      <c r="M221" s="22">
        <v>195</v>
      </c>
      <c r="N221" s="22">
        <v>456</v>
      </c>
      <c r="O221" s="22">
        <v>1063.5</v>
      </c>
      <c r="P221" s="22">
        <v>0</v>
      </c>
      <c r="Q221" s="21">
        <f>K221+N221</f>
        <v>886.5</v>
      </c>
      <c r="R221" s="21">
        <f>G221+H221+I221+J221+K221+N221+P221</f>
        <v>5047.8899999999994</v>
      </c>
      <c r="S221" s="21">
        <f>L221+M221+O221</f>
        <v>2323.5</v>
      </c>
      <c r="T221" s="21">
        <f>F221-R221</f>
        <v>9952.11</v>
      </c>
      <c r="U221" s="24" t="s">
        <v>30</v>
      </c>
    </row>
    <row r="222" spans="1:21" ht="15.75" customHeight="1">
      <c r="A222" s="23">
        <v>207</v>
      </c>
      <c r="B222" s="23" t="s">
        <v>295</v>
      </c>
      <c r="C222" s="23" t="s">
        <v>77</v>
      </c>
      <c r="D222" s="23" t="s">
        <v>163</v>
      </c>
      <c r="E222" s="24" t="s">
        <v>29</v>
      </c>
      <c r="F222" s="21">
        <v>12000</v>
      </c>
      <c r="G222" s="22">
        <v>0</v>
      </c>
      <c r="H222" s="22">
        <v>25</v>
      </c>
      <c r="I222" s="22">
        <v>0</v>
      </c>
      <c r="J222" s="22">
        <v>0</v>
      </c>
      <c r="K222" s="22">
        <f>F222*2.87%</f>
        <v>344.4</v>
      </c>
      <c r="L222" s="22">
        <f>F222*7.1%</f>
        <v>851.99999999999989</v>
      </c>
      <c r="M222" s="22">
        <v>156</v>
      </c>
      <c r="N222" s="22">
        <v>364.8</v>
      </c>
      <c r="O222" s="22">
        <v>850.80000000000007</v>
      </c>
      <c r="P222" s="22">
        <v>0</v>
      </c>
      <c r="Q222" s="21">
        <f>K222+N222</f>
        <v>709.2</v>
      </c>
      <c r="R222" s="21">
        <f>G222+H222+I222+J222+K222+N222+P222</f>
        <v>734.2</v>
      </c>
      <c r="S222" s="21">
        <f>L222+M222+O222</f>
        <v>1858.8</v>
      </c>
      <c r="T222" s="21">
        <f>F222-R222</f>
        <v>11265.8</v>
      </c>
      <c r="U222" s="24" t="s">
        <v>30</v>
      </c>
    </row>
    <row r="223" spans="1:21" ht="15.75" customHeight="1">
      <c r="A223" s="19">
        <v>208</v>
      </c>
      <c r="B223" s="23" t="s">
        <v>296</v>
      </c>
      <c r="C223" s="23" t="s">
        <v>297</v>
      </c>
      <c r="D223" s="23" t="s">
        <v>213</v>
      </c>
      <c r="E223" s="24" t="s">
        <v>29</v>
      </c>
      <c r="F223" s="21">
        <v>60000</v>
      </c>
      <c r="G223" s="22">
        <v>3486.68</v>
      </c>
      <c r="H223" s="22">
        <v>25</v>
      </c>
      <c r="I223" s="22">
        <v>0</v>
      </c>
      <c r="J223" s="22">
        <v>0</v>
      </c>
      <c r="K223" s="22">
        <f>F223*2.87%</f>
        <v>1722</v>
      </c>
      <c r="L223" s="22">
        <f>F223*7.1%</f>
        <v>4260</v>
      </c>
      <c r="M223" s="22">
        <v>780</v>
      </c>
      <c r="N223" s="22">
        <v>1824</v>
      </c>
      <c r="O223" s="22">
        <v>4254</v>
      </c>
      <c r="P223" s="22">
        <v>0</v>
      </c>
      <c r="Q223" s="21">
        <f>K223+N223</f>
        <v>3546</v>
      </c>
      <c r="R223" s="21">
        <f>G223+H223+I223+J223+K223+N223+P223</f>
        <v>7057.68</v>
      </c>
      <c r="S223" s="21">
        <f>L223+M223+O223</f>
        <v>9294</v>
      </c>
      <c r="T223" s="21">
        <f>F223-R223</f>
        <v>52942.32</v>
      </c>
      <c r="U223" s="24" t="s">
        <v>36</v>
      </c>
    </row>
    <row r="224" spans="1:21" ht="15.75" customHeight="1">
      <c r="A224" s="23">
        <v>209</v>
      </c>
      <c r="B224" s="23" t="s">
        <v>298</v>
      </c>
      <c r="C224" s="23" t="s">
        <v>88</v>
      </c>
      <c r="D224" s="23" t="s">
        <v>61</v>
      </c>
      <c r="E224" s="24" t="s">
        <v>29</v>
      </c>
      <c r="F224" s="21">
        <v>15000</v>
      </c>
      <c r="G224" s="22">
        <v>0</v>
      </c>
      <c r="H224" s="22">
        <v>25</v>
      </c>
      <c r="I224" s="22">
        <v>0</v>
      </c>
      <c r="J224" s="22">
        <v>0</v>
      </c>
      <c r="K224" s="22">
        <f>F224*2.87%</f>
        <v>430.5</v>
      </c>
      <c r="L224" s="22">
        <f>F224*7.1%</f>
        <v>1065</v>
      </c>
      <c r="M224" s="22">
        <v>195</v>
      </c>
      <c r="N224" s="22">
        <v>456</v>
      </c>
      <c r="O224" s="22">
        <v>1063.5</v>
      </c>
      <c r="P224" s="22">
        <v>0</v>
      </c>
      <c r="Q224" s="21">
        <f>K224+N224</f>
        <v>886.5</v>
      </c>
      <c r="R224" s="21">
        <f>G224+H224+I224+J224+K224+N224+P224</f>
        <v>911.5</v>
      </c>
      <c r="S224" s="21">
        <f>L224+M224+O224</f>
        <v>2323.5</v>
      </c>
      <c r="T224" s="21">
        <f>F224-R224</f>
        <v>14088.5</v>
      </c>
      <c r="U224" s="24" t="s">
        <v>30</v>
      </c>
    </row>
    <row r="225" spans="1:21" ht="15.75" customHeight="1">
      <c r="A225" s="23">
        <v>210</v>
      </c>
      <c r="B225" s="23" t="s">
        <v>299</v>
      </c>
      <c r="C225" s="23" t="s">
        <v>96</v>
      </c>
      <c r="D225" s="23" t="s">
        <v>49</v>
      </c>
      <c r="E225" s="24" t="s">
        <v>29</v>
      </c>
      <c r="F225" s="21">
        <v>25000</v>
      </c>
      <c r="G225" s="22">
        <v>0</v>
      </c>
      <c r="H225" s="22">
        <v>25</v>
      </c>
      <c r="I225" s="22">
        <v>0</v>
      </c>
      <c r="J225" s="22">
        <v>0</v>
      </c>
      <c r="K225" s="22">
        <f>F225*2.87%</f>
        <v>717.5</v>
      </c>
      <c r="L225" s="22">
        <f>F225*7.1%</f>
        <v>1774.9999999999998</v>
      </c>
      <c r="M225" s="22">
        <v>325</v>
      </c>
      <c r="N225" s="22">
        <v>760</v>
      </c>
      <c r="O225" s="22">
        <v>1772.5000000000002</v>
      </c>
      <c r="P225" s="22">
        <v>0</v>
      </c>
      <c r="Q225" s="21">
        <f>K225+N225</f>
        <v>1477.5</v>
      </c>
      <c r="R225" s="21">
        <f>G225+H225+I225+J225+K225+N225+P225</f>
        <v>1502.5</v>
      </c>
      <c r="S225" s="21">
        <f>L225+M225+O225</f>
        <v>3872.5</v>
      </c>
      <c r="T225" s="21">
        <f>F225-R225</f>
        <v>23497.5</v>
      </c>
      <c r="U225" s="24" t="s">
        <v>30</v>
      </c>
    </row>
    <row r="226" spans="1:21" ht="15.75" customHeight="1">
      <c r="A226" s="19">
        <v>211</v>
      </c>
      <c r="B226" s="23" t="s">
        <v>300</v>
      </c>
      <c r="C226" s="23" t="s">
        <v>48</v>
      </c>
      <c r="D226" s="23" t="s">
        <v>52</v>
      </c>
      <c r="E226" s="24" t="s">
        <v>29</v>
      </c>
      <c r="F226" s="21">
        <v>25000</v>
      </c>
      <c r="G226" s="22">
        <v>0</v>
      </c>
      <c r="H226" s="22">
        <v>25</v>
      </c>
      <c r="I226" s="22">
        <v>0</v>
      </c>
      <c r="J226" s="22">
        <f>500+500+6440.48+4587.75</f>
        <v>12028.23</v>
      </c>
      <c r="K226" s="22">
        <f>F226*2.87%</f>
        <v>717.5</v>
      </c>
      <c r="L226" s="22">
        <f>F226*7.1%</f>
        <v>1774.9999999999998</v>
      </c>
      <c r="M226" s="22">
        <v>325</v>
      </c>
      <c r="N226" s="22">
        <v>760</v>
      </c>
      <c r="O226" s="22">
        <v>1772.5</v>
      </c>
      <c r="P226" s="22">
        <v>0</v>
      </c>
      <c r="Q226" s="21">
        <f>K226+N226</f>
        <v>1477.5</v>
      </c>
      <c r="R226" s="21">
        <f>G226+H226+I226+J226+K226+N226+P226</f>
        <v>13530.73</v>
      </c>
      <c r="S226" s="21">
        <f>L226+M226+O226</f>
        <v>3872.5</v>
      </c>
      <c r="T226" s="21">
        <f>F226-R226</f>
        <v>11469.27</v>
      </c>
      <c r="U226" s="24" t="s">
        <v>36</v>
      </c>
    </row>
    <row r="227" spans="1:21" ht="15.75" customHeight="1">
      <c r="A227" s="23">
        <v>212</v>
      </c>
      <c r="B227" s="23" t="s">
        <v>301</v>
      </c>
      <c r="C227" s="23" t="s">
        <v>48</v>
      </c>
      <c r="D227" s="23" t="s">
        <v>98</v>
      </c>
      <c r="E227" s="24" t="s">
        <v>29</v>
      </c>
      <c r="F227" s="21">
        <v>31000</v>
      </c>
      <c r="G227" s="22">
        <v>0</v>
      </c>
      <c r="H227" s="22">
        <v>25</v>
      </c>
      <c r="I227" s="22">
        <v>0</v>
      </c>
      <c r="J227" s="22">
        <v>0</v>
      </c>
      <c r="K227" s="22">
        <f>F227*2.87%</f>
        <v>889.7</v>
      </c>
      <c r="L227" s="22">
        <f>F227*7.1%</f>
        <v>2201</v>
      </c>
      <c r="M227" s="22">
        <v>403</v>
      </c>
      <c r="N227" s="22">
        <v>942.4</v>
      </c>
      <c r="O227" s="22">
        <v>2197.9</v>
      </c>
      <c r="P227" s="22">
        <v>0</v>
      </c>
      <c r="Q227" s="21">
        <f>K227+N227</f>
        <v>1832.1</v>
      </c>
      <c r="R227" s="21">
        <f>G227+H227+I227+J227+K227+N227+P227</f>
        <v>1857.1</v>
      </c>
      <c r="S227" s="21">
        <f>L227+M227+O227</f>
        <v>4801.8999999999996</v>
      </c>
      <c r="T227" s="21">
        <f>F227-R227</f>
        <v>29142.9</v>
      </c>
      <c r="U227" s="24" t="s">
        <v>36</v>
      </c>
    </row>
    <row r="228" spans="1:21" ht="15.75" customHeight="1">
      <c r="A228" s="23">
        <v>213</v>
      </c>
      <c r="B228" s="23" t="s">
        <v>302</v>
      </c>
      <c r="C228" s="23" t="s">
        <v>303</v>
      </c>
      <c r="D228" s="23" t="s">
        <v>69</v>
      </c>
      <c r="E228" s="24" t="s">
        <v>29</v>
      </c>
      <c r="F228" s="21">
        <v>26000</v>
      </c>
      <c r="G228" s="22">
        <v>0</v>
      </c>
      <c r="H228" s="22">
        <v>25</v>
      </c>
      <c r="I228" s="22">
        <v>0</v>
      </c>
      <c r="J228" s="22">
        <v>0</v>
      </c>
      <c r="K228" s="22">
        <f>F228*2.87%</f>
        <v>746.2</v>
      </c>
      <c r="L228" s="22">
        <f>F228*7.1%</f>
        <v>1845.9999999999998</v>
      </c>
      <c r="M228" s="22">
        <v>338</v>
      </c>
      <c r="N228" s="22">
        <v>790.4</v>
      </c>
      <c r="O228" s="22">
        <v>1843.4</v>
      </c>
      <c r="P228" s="22">
        <v>0</v>
      </c>
      <c r="Q228" s="21">
        <f>K228+N228</f>
        <v>1536.6</v>
      </c>
      <c r="R228" s="21">
        <f>G228+H228+I228+J228+K228+N228+P228</f>
        <v>1561.6</v>
      </c>
      <c r="S228" s="21">
        <f>L228+M228+O228</f>
        <v>4027.4</v>
      </c>
      <c r="T228" s="21">
        <f>F228-R228</f>
        <v>24438.400000000001</v>
      </c>
      <c r="U228" s="24" t="s">
        <v>36</v>
      </c>
    </row>
    <row r="229" spans="1:21" ht="15.75" customHeight="1">
      <c r="A229" s="19">
        <v>214</v>
      </c>
      <c r="B229" s="23" t="s">
        <v>304</v>
      </c>
      <c r="C229" s="23" t="s">
        <v>77</v>
      </c>
      <c r="D229" s="23" t="s">
        <v>61</v>
      </c>
      <c r="E229" s="24" t="s">
        <v>29</v>
      </c>
      <c r="F229" s="21">
        <v>15000</v>
      </c>
      <c r="G229" s="22">
        <v>0</v>
      </c>
      <c r="H229" s="22">
        <v>25</v>
      </c>
      <c r="I229" s="22">
        <v>0</v>
      </c>
      <c r="J229" s="22">
        <v>0</v>
      </c>
      <c r="K229" s="22">
        <f>F229*2.87%</f>
        <v>430.5</v>
      </c>
      <c r="L229" s="22">
        <f>F229*7.1%</f>
        <v>1065</v>
      </c>
      <c r="M229" s="22">
        <v>195</v>
      </c>
      <c r="N229" s="22">
        <v>456</v>
      </c>
      <c r="O229" s="22">
        <v>1063.5</v>
      </c>
      <c r="P229" s="22">
        <v>0</v>
      </c>
      <c r="Q229" s="21">
        <f>K229+N229</f>
        <v>886.5</v>
      </c>
      <c r="R229" s="21">
        <f>G229+H229+I229+J229+K229+N229+P229</f>
        <v>911.5</v>
      </c>
      <c r="S229" s="21">
        <f>L229+M229+O229</f>
        <v>2323.5</v>
      </c>
      <c r="T229" s="21">
        <f>F229-R229</f>
        <v>14088.5</v>
      </c>
      <c r="U229" s="24" t="s">
        <v>30</v>
      </c>
    </row>
    <row r="230" spans="1:21" ht="15.75" customHeight="1">
      <c r="A230" s="23">
        <v>215</v>
      </c>
      <c r="B230" s="23" t="s">
        <v>305</v>
      </c>
      <c r="C230" s="23" t="s">
        <v>96</v>
      </c>
      <c r="D230" s="23" t="s">
        <v>49</v>
      </c>
      <c r="E230" s="24" t="s">
        <v>29</v>
      </c>
      <c r="F230" s="21">
        <v>17000</v>
      </c>
      <c r="G230" s="22">
        <v>0</v>
      </c>
      <c r="H230" s="22">
        <v>25</v>
      </c>
      <c r="I230" s="22">
        <v>0</v>
      </c>
      <c r="J230" s="22">
        <f>1000+300+1223.9</f>
        <v>2523.9</v>
      </c>
      <c r="K230" s="22">
        <f>F230*2.87%</f>
        <v>487.9</v>
      </c>
      <c r="L230" s="22">
        <f>F230*7.1%</f>
        <v>1207</v>
      </c>
      <c r="M230" s="22">
        <v>221</v>
      </c>
      <c r="N230" s="22">
        <v>516.79999999999995</v>
      </c>
      <c r="O230" s="22">
        <v>1205.3000000000002</v>
      </c>
      <c r="P230" s="22">
        <v>0</v>
      </c>
      <c r="Q230" s="21">
        <f>K230+N230</f>
        <v>1004.6999999999999</v>
      </c>
      <c r="R230" s="21">
        <f>G230+H230+I230+J230+K230+N230+P230</f>
        <v>3553.6000000000004</v>
      </c>
      <c r="S230" s="21">
        <f>L230+M230+O230</f>
        <v>2633.3</v>
      </c>
      <c r="T230" s="21">
        <f>F230-R230</f>
        <v>13446.4</v>
      </c>
      <c r="U230" s="24" t="s">
        <v>30</v>
      </c>
    </row>
    <row r="231" spans="1:21" ht="15.75" customHeight="1">
      <c r="A231" s="23">
        <v>216</v>
      </c>
      <c r="B231" s="23" t="s">
        <v>306</v>
      </c>
      <c r="C231" s="23" t="s">
        <v>57</v>
      </c>
      <c r="D231" s="23" t="s">
        <v>58</v>
      </c>
      <c r="E231" s="24" t="s">
        <v>29</v>
      </c>
      <c r="F231" s="21">
        <v>10000</v>
      </c>
      <c r="G231" s="22">
        <v>0</v>
      </c>
      <c r="H231" s="22">
        <v>25</v>
      </c>
      <c r="I231" s="22">
        <v>0</v>
      </c>
      <c r="J231" s="22">
        <v>0</v>
      </c>
      <c r="K231" s="22">
        <f>F231*2.87%</f>
        <v>287</v>
      </c>
      <c r="L231" s="22">
        <f>F231*7.1%</f>
        <v>709.99999999999989</v>
      </c>
      <c r="M231" s="22">
        <v>130</v>
      </c>
      <c r="N231" s="22">
        <v>304</v>
      </c>
      <c r="O231" s="22">
        <v>709</v>
      </c>
      <c r="P231" s="22">
        <v>0</v>
      </c>
      <c r="Q231" s="21">
        <f>K231+N231</f>
        <v>591</v>
      </c>
      <c r="R231" s="21">
        <f>G231+H231+I231+J231+K231+N231+P231</f>
        <v>616</v>
      </c>
      <c r="S231" s="21">
        <f>L231+M231+O231</f>
        <v>1549</v>
      </c>
      <c r="T231" s="21">
        <f>F231-R231</f>
        <v>9384</v>
      </c>
      <c r="U231" s="24" t="s">
        <v>36</v>
      </c>
    </row>
    <row r="232" spans="1:21" ht="15.75" customHeight="1">
      <c r="A232" s="19">
        <v>217</v>
      </c>
      <c r="B232" s="23" t="s">
        <v>307</v>
      </c>
      <c r="C232" s="23" t="s">
        <v>66</v>
      </c>
      <c r="D232" s="23" t="s">
        <v>72</v>
      </c>
      <c r="E232" s="24" t="s">
        <v>29</v>
      </c>
      <c r="F232" s="21">
        <v>20000</v>
      </c>
      <c r="G232" s="22">
        <v>0</v>
      </c>
      <c r="H232" s="22">
        <v>25</v>
      </c>
      <c r="I232" s="22">
        <v>0</v>
      </c>
      <c r="J232" s="22">
        <v>0</v>
      </c>
      <c r="K232" s="22">
        <f>F232*2.87%</f>
        <v>574</v>
      </c>
      <c r="L232" s="22">
        <f>F232*7.1%</f>
        <v>1419.9999999999998</v>
      </c>
      <c r="M232" s="22">
        <v>260</v>
      </c>
      <c r="N232" s="22">
        <v>608</v>
      </c>
      <c r="O232" s="22">
        <v>1418</v>
      </c>
      <c r="P232" s="22">
        <v>0</v>
      </c>
      <c r="Q232" s="21">
        <f>K232+N232</f>
        <v>1182</v>
      </c>
      <c r="R232" s="21">
        <f>G232+H232+I232+J232+K232+N232+P232</f>
        <v>1207</v>
      </c>
      <c r="S232" s="21">
        <f>L232+M232+O232</f>
        <v>3098</v>
      </c>
      <c r="T232" s="21">
        <f>F232-R232</f>
        <v>18793</v>
      </c>
      <c r="U232" s="24" t="s">
        <v>30</v>
      </c>
    </row>
    <row r="233" spans="1:21" ht="15.75" customHeight="1">
      <c r="A233" s="23">
        <v>218</v>
      </c>
      <c r="B233" s="23" t="s">
        <v>308</v>
      </c>
      <c r="C233" s="23" t="s">
        <v>68</v>
      </c>
      <c r="D233" s="23" t="s">
        <v>86</v>
      </c>
      <c r="E233" s="24" t="s">
        <v>29</v>
      </c>
      <c r="F233" s="21">
        <v>25000</v>
      </c>
      <c r="G233" s="22">
        <v>0</v>
      </c>
      <c r="H233" s="22">
        <v>25</v>
      </c>
      <c r="I233" s="22">
        <v>0</v>
      </c>
      <c r="J233" s="22">
        <v>0</v>
      </c>
      <c r="K233" s="22">
        <f>F233*2.87%</f>
        <v>717.5</v>
      </c>
      <c r="L233" s="22">
        <f>F233*7.1%</f>
        <v>1774.9999999999998</v>
      </c>
      <c r="M233" s="22">
        <v>325</v>
      </c>
      <c r="N233" s="22">
        <v>760</v>
      </c>
      <c r="O233" s="22">
        <v>1772.5000000000002</v>
      </c>
      <c r="P233" s="22">
        <v>1587.38</v>
      </c>
      <c r="Q233" s="21">
        <f>K233+N233</f>
        <v>1477.5</v>
      </c>
      <c r="R233" s="21">
        <f>G233+H233+I233+J233+K233+N233+P233</f>
        <v>3089.88</v>
      </c>
      <c r="S233" s="21">
        <f>L233+M233+O233</f>
        <v>3872.5</v>
      </c>
      <c r="T233" s="21">
        <f>F233-R233</f>
        <v>21910.12</v>
      </c>
      <c r="U233" s="24" t="s">
        <v>30</v>
      </c>
    </row>
    <row r="234" spans="1:21" ht="15.75" customHeight="1">
      <c r="A234" s="23">
        <v>219</v>
      </c>
      <c r="B234" s="23" t="s">
        <v>309</v>
      </c>
      <c r="C234" s="23" t="s">
        <v>68</v>
      </c>
      <c r="D234" s="23" t="s">
        <v>69</v>
      </c>
      <c r="E234" s="24" t="s">
        <v>29</v>
      </c>
      <c r="F234" s="21">
        <v>35000</v>
      </c>
      <c r="G234" s="22">
        <v>0</v>
      </c>
      <c r="H234" s="22">
        <v>25</v>
      </c>
      <c r="I234" s="22">
        <v>0</v>
      </c>
      <c r="J234" s="22">
        <f>700+300</f>
        <v>1000</v>
      </c>
      <c r="K234" s="22">
        <f>F234*2.87%</f>
        <v>1004.5</v>
      </c>
      <c r="L234" s="22">
        <f>F234*7.1%</f>
        <v>2485</v>
      </c>
      <c r="M234" s="22">
        <v>455</v>
      </c>
      <c r="N234" s="22">
        <v>1064</v>
      </c>
      <c r="O234" s="22">
        <v>2481.5</v>
      </c>
      <c r="P234" s="22">
        <v>0</v>
      </c>
      <c r="Q234" s="21">
        <f>K234+N234</f>
        <v>2068.5</v>
      </c>
      <c r="R234" s="21">
        <f>G234+H234+I234+J234+K234+N234+P234</f>
        <v>3093.5</v>
      </c>
      <c r="S234" s="21">
        <f>L234+M234+O234</f>
        <v>5421.5</v>
      </c>
      <c r="T234" s="21">
        <f>F234-R234</f>
        <v>31906.5</v>
      </c>
      <c r="U234" s="24" t="s">
        <v>36</v>
      </c>
    </row>
    <row r="235" spans="1:21" ht="15.75" customHeight="1">
      <c r="A235" s="19">
        <v>220</v>
      </c>
      <c r="B235" s="23" t="s">
        <v>310</v>
      </c>
      <c r="C235" s="23" t="s">
        <v>77</v>
      </c>
      <c r="D235" s="23" t="s">
        <v>61</v>
      </c>
      <c r="E235" s="24" t="s">
        <v>29</v>
      </c>
      <c r="F235" s="21">
        <v>15000</v>
      </c>
      <c r="G235" s="22">
        <v>0</v>
      </c>
      <c r="H235" s="22">
        <v>25</v>
      </c>
      <c r="I235" s="22">
        <v>0</v>
      </c>
      <c r="J235" s="22">
        <f>500+300+2237.81</f>
        <v>3037.81</v>
      </c>
      <c r="K235" s="22">
        <f>F235*2.87%</f>
        <v>430.5</v>
      </c>
      <c r="L235" s="22">
        <f>F235*7.1%</f>
        <v>1065</v>
      </c>
      <c r="M235" s="22">
        <v>195</v>
      </c>
      <c r="N235" s="22">
        <v>456</v>
      </c>
      <c r="O235" s="22">
        <v>1063.5</v>
      </c>
      <c r="P235" s="22">
        <v>0</v>
      </c>
      <c r="Q235" s="21">
        <f>K235+N235</f>
        <v>886.5</v>
      </c>
      <c r="R235" s="21">
        <f>G235+H235+I235+J235+K235+N235+P235</f>
        <v>3949.31</v>
      </c>
      <c r="S235" s="21">
        <f>L235+M235+O235</f>
        <v>2323.5</v>
      </c>
      <c r="T235" s="21">
        <f>F235-R235</f>
        <v>11050.69</v>
      </c>
      <c r="U235" s="24" t="s">
        <v>30</v>
      </c>
    </row>
    <row r="236" spans="1:21" ht="15.75" customHeight="1">
      <c r="A236" s="23">
        <v>221</v>
      </c>
      <c r="B236" s="23" t="s">
        <v>311</v>
      </c>
      <c r="C236" s="23" t="s">
        <v>51</v>
      </c>
      <c r="D236" s="23" t="s">
        <v>52</v>
      </c>
      <c r="E236" s="24" t="s">
        <v>29</v>
      </c>
      <c r="F236" s="21">
        <v>10000</v>
      </c>
      <c r="G236" s="22">
        <v>0</v>
      </c>
      <c r="H236" s="22">
        <v>25</v>
      </c>
      <c r="I236" s="22">
        <v>0</v>
      </c>
      <c r="J236" s="22">
        <v>0</v>
      </c>
      <c r="K236" s="22">
        <f>F236*2.87%</f>
        <v>287</v>
      </c>
      <c r="L236" s="22">
        <f>F236*7.1%</f>
        <v>709.99999999999989</v>
      </c>
      <c r="M236" s="22">
        <v>130</v>
      </c>
      <c r="N236" s="22">
        <v>304</v>
      </c>
      <c r="O236" s="22">
        <v>709</v>
      </c>
      <c r="P236" s="22">
        <v>0</v>
      </c>
      <c r="Q236" s="21">
        <f>K236+N236</f>
        <v>591</v>
      </c>
      <c r="R236" s="21">
        <f>G236+H236+I236+J236+K236+N236+P236</f>
        <v>616</v>
      </c>
      <c r="S236" s="21">
        <f>L236+M236+O236</f>
        <v>1549</v>
      </c>
      <c r="T236" s="21">
        <f>F236-R236</f>
        <v>9384</v>
      </c>
      <c r="U236" s="24" t="s">
        <v>30</v>
      </c>
    </row>
    <row r="237" spans="1:21" ht="15.75" customHeight="1">
      <c r="A237" s="23">
        <v>222</v>
      </c>
      <c r="B237" s="23" t="s">
        <v>312</v>
      </c>
      <c r="C237" s="23" t="s">
        <v>77</v>
      </c>
      <c r="D237" s="23" t="s">
        <v>61</v>
      </c>
      <c r="E237" s="24" t="s">
        <v>29</v>
      </c>
      <c r="F237" s="21">
        <v>10000</v>
      </c>
      <c r="G237" s="22">
        <v>0</v>
      </c>
      <c r="H237" s="22">
        <v>25</v>
      </c>
      <c r="I237" s="22">
        <v>0</v>
      </c>
      <c r="J237" s="22">
        <f>700+300+3235.72+1518.25</f>
        <v>5753.9699999999993</v>
      </c>
      <c r="K237" s="22">
        <f>F237*2.87%</f>
        <v>287</v>
      </c>
      <c r="L237" s="22">
        <f>F237*7.1%</f>
        <v>709.99999999999989</v>
      </c>
      <c r="M237" s="22">
        <v>130</v>
      </c>
      <c r="N237" s="22">
        <v>304</v>
      </c>
      <c r="O237" s="22">
        <v>709</v>
      </c>
      <c r="P237" s="22">
        <v>0</v>
      </c>
      <c r="Q237" s="21">
        <f>K237+N237</f>
        <v>591</v>
      </c>
      <c r="R237" s="21">
        <f>G237+H237+I237+J237+K237+N237+P237</f>
        <v>6369.9699999999993</v>
      </c>
      <c r="S237" s="21">
        <f>L237+M237+O237</f>
        <v>1549</v>
      </c>
      <c r="T237" s="21">
        <f>F237-R237</f>
        <v>3630.0300000000007</v>
      </c>
      <c r="U237" s="24" t="s">
        <v>30</v>
      </c>
    </row>
    <row r="238" spans="1:21" ht="15.75" customHeight="1">
      <c r="A238" s="19">
        <v>223</v>
      </c>
      <c r="B238" s="23" t="s">
        <v>313</v>
      </c>
      <c r="C238" s="23" t="s">
        <v>51</v>
      </c>
      <c r="D238" s="23" t="s">
        <v>52</v>
      </c>
      <c r="E238" s="24" t="s">
        <v>29</v>
      </c>
      <c r="F238" s="21">
        <v>20000</v>
      </c>
      <c r="G238" s="22">
        <v>0</v>
      </c>
      <c r="H238" s="22">
        <v>25</v>
      </c>
      <c r="I238" s="22">
        <v>0</v>
      </c>
      <c r="J238" s="22">
        <f>1000+300+7838.24</f>
        <v>9138.24</v>
      </c>
      <c r="K238" s="22">
        <f>F238*2.87%</f>
        <v>574</v>
      </c>
      <c r="L238" s="22">
        <f>F238*7.1%</f>
        <v>1419.9999999999998</v>
      </c>
      <c r="M238" s="22">
        <v>260</v>
      </c>
      <c r="N238" s="22">
        <v>608</v>
      </c>
      <c r="O238" s="22">
        <v>1418</v>
      </c>
      <c r="P238" s="22">
        <v>0</v>
      </c>
      <c r="Q238" s="21">
        <f>K238+N238</f>
        <v>1182</v>
      </c>
      <c r="R238" s="21">
        <f>G238+H238+I238+J238+K238+N238+P238</f>
        <v>10345.24</v>
      </c>
      <c r="S238" s="21">
        <f>L238+M238+O238</f>
        <v>3098</v>
      </c>
      <c r="T238" s="21">
        <f>F238-R238</f>
        <v>9654.76</v>
      </c>
      <c r="U238" s="24" t="s">
        <v>30</v>
      </c>
    </row>
    <row r="239" spans="1:21" ht="15.75" customHeight="1">
      <c r="A239" s="23">
        <v>224</v>
      </c>
      <c r="B239" s="23" t="s">
        <v>314</v>
      </c>
      <c r="C239" s="23" t="s">
        <v>77</v>
      </c>
      <c r="D239" s="23" t="s">
        <v>61</v>
      </c>
      <c r="E239" s="24" t="s">
        <v>29</v>
      </c>
      <c r="F239" s="21">
        <v>15000</v>
      </c>
      <c r="G239" s="22">
        <v>0</v>
      </c>
      <c r="H239" s="22">
        <v>25</v>
      </c>
      <c r="I239" s="22">
        <v>0</v>
      </c>
      <c r="J239" s="22">
        <v>0</v>
      </c>
      <c r="K239" s="22">
        <f>F239*2.87%</f>
        <v>430.5</v>
      </c>
      <c r="L239" s="22">
        <f>F239*7.1%</f>
        <v>1065</v>
      </c>
      <c r="M239" s="22">
        <v>195</v>
      </c>
      <c r="N239" s="22">
        <v>456</v>
      </c>
      <c r="O239" s="22">
        <v>1063.5</v>
      </c>
      <c r="P239" s="22">
        <v>0</v>
      </c>
      <c r="Q239" s="21">
        <f>K239+N239</f>
        <v>886.5</v>
      </c>
      <c r="R239" s="21">
        <f>G239+H239+I239+J239+K239+N239+P239</f>
        <v>911.5</v>
      </c>
      <c r="S239" s="21">
        <f>L239+M239+O239</f>
        <v>2323.5</v>
      </c>
      <c r="T239" s="21">
        <f>F239-R239</f>
        <v>14088.5</v>
      </c>
      <c r="U239" s="24" t="s">
        <v>30</v>
      </c>
    </row>
    <row r="240" spans="1:21" ht="15.75" customHeight="1">
      <c r="A240" s="23">
        <v>225</v>
      </c>
      <c r="B240" s="23" t="s">
        <v>315</v>
      </c>
      <c r="C240" s="23" t="s">
        <v>66</v>
      </c>
      <c r="D240" s="23" t="s">
        <v>58</v>
      </c>
      <c r="E240" s="24" t="s">
        <v>29</v>
      </c>
      <c r="F240" s="21">
        <v>20000</v>
      </c>
      <c r="G240" s="22">
        <v>0</v>
      </c>
      <c r="H240" s="22">
        <v>25</v>
      </c>
      <c r="I240" s="22">
        <v>0</v>
      </c>
      <c r="J240" s="22">
        <v>0</v>
      </c>
      <c r="K240" s="22">
        <f>F240*2.87%</f>
        <v>574</v>
      </c>
      <c r="L240" s="22">
        <f>F240*7.1%</f>
        <v>1419.9999999999998</v>
      </c>
      <c r="M240" s="22">
        <v>260</v>
      </c>
      <c r="N240" s="22">
        <v>608</v>
      </c>
      <c r="O240" s="22">
        <v>1418</v>
      </c>
      <c r="P240" s="22">
        <v>0</v>
      </c>
      <c r="Q240" s="21">
        <f>K240+N240</f>
        <v>1182</v>
      </c>
      <c r="R240" s="21">
        <f>G240+H240+I240+J240+K240+N240+P240</f>
        <v>1207</v>
      </c>
      <c r="S240" s="21">
        <f>L240+M240+O240</f>
        <v>3098</v>
      </c>
      <c r="T240" s="21">
        <f>F240-R240</f>
        <v>18793</v>
      </c>
      <c r="U240" s="24" t="s">
        <v>30</v>
      </c>
    </row>
    <row r="241" spans="1:21" ht="15.75" customHeight="1">
      <c r="A241" s="19">
        <v>226</v>
      </c>
      <c r="B241" s="23" t="s">
        <v>316</v>
      </c>
      <c r="C241" s="23" t="s">
        <v>287</v>
      </c>
      <c r="D241" s="23" t="s">
        <v>28</v>
      </c>
      <c r="E241" s="24" t="s">
        <v>317</v>
      </c>
      <c r="F241" s="21">
        <v>30000</v>
      </c>
      <c r="G241" s="22">
        <v>0</v>
      </c>
      <c r="H241" s="22">
        <v>25</v>
      </c>
      <c r="I241" s="22">
        <v>0</v>
      </c>
      <c r="J241" s="22">
        <v>0</v>
      </c>
      <c r="K241" s="22">
        <f>F241*2.87%</f>
        <v>861</v>
      </c>
      <c r="L241" s="22">
        <f>F241*7.1%</f>
        <v>2130</v>
      </c>
      <c r="M241" s="22">
        <v>390</v>
      </c>
      <c r="N241" s="22">
        <v>912</v>
      </c>
      <c r="O241" s="22">
        <v>2127</v>
      </c>
      <c r="P241" s="22">
        <v>0</v>
      </c>
      <c r="Q241" s="21">
        <f>K241+N241</f>
        <v>1773</v>
      </c>
      <c r="R241" s="21">
        <f>G241+H241+I241+J241+K241+N241+P241</f>
        <v>1798</v>
      </c>
      <c r="S241" s="21">
        <f>L241+M241+O241</f>
        <v>4647</v>
      </c>
      <c r="T241" s="21">
        <f>F241-R241</f>
        <v>28202</v>
      </c>
      <c r="U241" s="24" t="s">
        <v>30</v>
      </c>
    </row>
    <row r="242" spans="1:21" ht="15.75" customHeight="1">
      <c r="A242" s="23">
        <v>227</v>
      </c>
      <c r="B242" s="23" t="s">
        <v>318</v>
      </c>
      <c r="C242" s="23" t="s">
        <v>77</v>
      </c>
      <c r="D242" s="23" t="s">
        <v>78</v>
      </c>
      <c r="E242" s="24" t="s">
        <v>29</v>
      </c>
      <c r="F242" s="21">
        <v>10000</v>
      </c>
      <c r="G242" s="22">
        <v>0</v>
      </c>
      <c r="H242" s="22">
        <v>25</v>
      </c>
      <c r="I242" s="22">
        <v>0</v>
      </c>
      <c r="J242" s="22">
        <v>0</v>
      </c>
      <c r="K242" s="22">
        <f>F242*2.87%</f>
        <v>287</v>
      </c>
      <c r="L242" s="22">
        <f>F242*7.1%</f>
        <v>709.99999999999989</v>
      </c>
      <c r="M242" s="22">
        <v>130</v>
      </c>
      <c r="N242" s="22">
        <v>304</v>
      </c>
      <c r="O242" s="22">
        <v>709</v>
      </c>
      <c r="P242" s="22">
        <v>0</v>
      </c>
      <c r="Q242" s="21">
        <f>K242+N242</f>
        <v>591</v>
      </c>
      <c r="R242" s="21">
        <f>G242+H242+I242+J242+K242+N242+P242</f>
        <v>616</v>
      </c>
      <c r="S242" s="21">
        <f>L242+M242+O242</f>
        <v>1549</v>
      </c>
      <c r="T242" s="21">
        <f>F242-R242</f>
        <v>9384</v>
      </c>
      <c r="U242" s="24" t="s">
        <v>30</v>
      </c>
    </row>
    <row r="243" spans="1:21" ht="15.75" customHeight="1">
      <c r="A243" s="23">
        <v>228</v>
      </c>
      <c r="B243" s="23" t="s">
        <v>319</v>
      </c>
      <c r="C243" s="23" t="s">
        <v>77</v>
      </c>
      <c r="D243" s="23" t="s">
        <v>61</v>
      </c>
      <c r="E243" s="24" t="s">
        <v>29</v>
      </c>
      <c r="F243" s="21">
        <v>10000</v>
      </c>
      <c r="G243" s="22">
        <v>0</v>
      </c>
      <c r="H243" s="22">
        <v>25</v>
      </c>
      <c r="I243" s="22">
        <v>0</v>
      </c>
      <c r="J243" s="22">
        <v>0</v>
      </c>
      <c r="K243" s="22">
        <f>F243*2.87%</f>
        <v>287</v>
      </c>
      <c r="L243" s="22">
        <f>F243*7.1%</f>
        <v>709.99999999999989</v>
      </c>
      <c r="M243" s="22">
        <v>130</v>
      </c>
      <c r="N243" s="22">
        <v>304</v>
      </c>
      <c r="O243" s="22">
        <v>709</v>
      </c>
      <c r="P243" s="22">
        <v>0</v>
      </c>
      <c r="Q243" s="21">
        <f>K243+N243</f>
        <v>591</v>
      </c>
      <c r="R243" s="21">
        <f>G243+H243+I243+J243+K243+N243+P243</f>
        <v>616</v>
      </c>
      <c r="S243" s="21">
        <f>L243+M243+O243</f>
        <v>1549</v>
      </c>
      <c r="T243" s="21">
        <f>F243-R243</f>
        <v>9384</v>
      </c>
      <c r="U243" s="24" t="s">
        <v>30</v>
      </c>
    </row>
    <row r="244" spans="1:21" ht="15.75" customHeight="1">
      <c r="A244" s="19">
        <v>229</v>
      </c>
      <c r="B244" s="23" t="s">
        <v>320</v>
      </c>
      <c r="C244" s="23" t="s">
        <v>77</v>
      </c>
      <c r="D244" s="23" t="s">
        <v>61</v>
      </c>
      <c r="E244" s="24" t="s">
        <v>29</v>
      </c>
      <c r="F244" s="21">
        <v>15000</v>
      </c>
      <c r="G244" s="22">
        <v>0</v>
      </c>
      <c r="H244" s="22">
        <v>25</v>
      </c>
      <c r="I244" s="22">
        <v>0</v>
      </c>
      <c r="J244" s="22">
        <f>1000+300+1085.28</f>
        <v>2385.2799999999997</v>
      </c>
      <c r="K244" s="22">
        <f>F244*2.87%</f>
        <v>430.5</v>
      </c>
      <c r="L244" s="22">
        <f>F244*7.1%</f>
        <v>1065</v>
      </c>
      <c r="M244" s="22">
        <v>195</v>
      </c>
      <c r="N244" s="22">
        <v>456</v>
      </c>
      <c r="O244" s="22">
        <v>1063.5</v>
      </c>
      <c r="P244" s="22">
        <v>0</v>
      </c>
      <c r="Q244" s="21">
        <f>K244+N244</f>
        <v>886.5</v>
      </c>
      <c r="R244" s="21">
        <f>G244+H244+I244+J244+K244+N244+P244</f>
        <v>3296.7799999999997</v>
      </c>
      <c r="S244" s="21">
        <f>L244+M244+O244</f>
        <v>2323.5</v>
      </c>
      <c r="T244" s="21">
        <f>F244-R244</f>
        <v>11703.220000000001</v>
      </c>
      <c r="U244" s="24" t="s">
        <v>30</v>
      </c>
    </row>
    <row r="245" spans="1:21" ht="15.75" customHeight="1">
      <c r="A245" s="23">
        <v>230</v>
      </c>
      <c r="B245" s="23" t="s">
        <v>321</v>
      </c>
      <c r="C245" s="23" t="s">
        <v>66</v>
      </c>
      <c r="D245" s="23" t="s">
        <v>61</v>
      </c>
      <c r="E245" s="24" t="s">
        <v>29</v>
      </c>
      <c r="F245" s="21">
        <v>20000</v>
      </c>
      <c r="G245" s="22">
        <v>0</v>
      </c>
      <c r="H245" s="22">
        <v>25</v>
      </c>
      <c r="I245" s="22">
        <v>0</v>
      </c>
      <c r="J245" s="22">
        <v>0</v>
      </c>
      <c r="K245" s="22">
        <f>F245*2.87%</f>
        <v>574</v>
      </c>
      <c r="L245" s="22">
        <f>F245*7.1%</f>
        <v>1419.9999999999998</v>
      </c>
      <c r="M245" s="22">
        <v>260</v>
      </c>
      <c r="N245" s="22">
        <v>608</v>
      </c>
      <c r="O245" s="22">
        <v>1418</v>
      </c>
      <c r="P245" s="22">
        <v>0</v>
      </c>
      <c r="Q245" s="21">
        <f>K245+N245</f>
        <v>1182</v>
      </c>
      <c r="R245" s="21">
        <f>G245+H245+I245+J245+K245+N245+P245</f>
        <v>1207</v>
      </c>
      <c r="S245" s="21">
        <f>L245+M245+O245</f>
        <v>3098</v>
      </c>
      <c r="T245" s="21">
        <f>F245-R245</f>
        <v>18793</v>
      </c>
      <c r="U245" s="24" t="s">
        <v>30</v>
      </c>
    </row>
    <row r="246" spans="1:21" ht="15.75" customHeight="1">
      <c r="A246" s="23">
        <v>231</v>
      </c>
      <c r="B246" s="23" t="s">
        <v>322</v>
      </c>
      <c r="C246" s="23" t="s">
        <v>88</v>
      </c>
      <c r="D246" s="23" t="s">
        <v>58</v>
      </c>
      <c r="E246" s="24" t="s">
        <v>29</v>
      </c>
      <c r="F246" s="21">
        <v>15000</v>
      </c>
      <c r="G246" s="22">
        <v>0</v>
      </c>
      <c r="H246" s="22">
        <v>25</v>
      </c>
      <c r="I246" s="22">
        <v>0</v>
      </c>
      <c r="J246" s="22">
        <f>1000+1000+6259.66</f>
        <v>8259.66</v>
      </c>
      <c r="K246" s="22">
        <f>F246*2.87%</f>
        <v>430.5</v>
      </c>
      <c r="L246" s="22">
        <f>F246*7.1%</f>
        <v>1065</v>
      </c>
      <c r="M246" s="22">
        <v>195</v>
      </c>
      <c r="N246" s="22">
        <v>456</v>
      </c>
      <c r="O246" s="22">
        <v>1063.5</v>
      </c>
      <c r="P246" s="22">
        <v>0</v>
      </c>
      <c r="Q246" s="21">
        <f>K246+N246</f>
        <v>886.5</v>
      </c>
      <c r="R246" s="21">
        <f>G246+H246+I246+J246+K246+N246+P246</f>
        <v>9171.16</v>
      </c>
      <c r="S246" s="21">
        <f>L246+M246+O246</f>
        <v>2323.5</v>
      </c>
      <c r="T246" s="21">
        <f>F246-R246</f>
        <v>5828.84</v>
      </c>
      <c r="U246" s="24" t="s">
        <v>30</v>
      </c>
    </row>
    <row r="247" spans="1:21" ht="15.75" customHeight="1">
      <c r="A247" s="19">
        <v>232</v>
      </c>
      <c r="B247" s="23" t="s">
        <v>323</v>
      </c>
      <c r="C247" s="23" t="s">
        <v>68</v>
      </c>
      <c r="D247" s="23" t="s">
        <v>52</v>
      </c>
      <c r="E247" s="24" t="s">
        <v>29</v>
      </c>
      <c r="F247" s="21">
        <v>35000</v>
      </c>
      <c r="G247" s="22">
        <v>0</v>
      </c>
      <c r="H247" s="22">
        <v>25</v>
      </c>
      <c r="I247" s="22">
        <v>0</v>
      </c>
      <c r="J247" s="22">
        <f>300+1515.66</f>
        <v>1815.66</v>
      </c>
      <c r="K247" s="22">
        <f>F247*2.87%</f>
        <v>1004.5</v>
      </c>
      <c r="L247" s="22">
        <f>F247*7.1%</f>
        <v>2485</v>
      </c>
      <c r="M247" s="22">
        <v>455</v>
      </c>
      <c r="N247" s="22">
        <v>1064</v>
      </c>
      <c r="O247" s="22">
        <v>2481.5</v>
      </c>
      <c r="P247" s="22">
        <v>393</v>
      </c>
      <c r="Q247" s="21">
        <f>K247+N247</f>
        <v>2068.5</v>
      </c>
      <c r="R247" s="21">
        <f>G247+H247+I247+J247+K247+N247+P247</f>
        <v>4302.16</v>
      </c>
      <c r="S247" s="21">
        <f>L247+M247+O247</f>
        <v>5421.5</v>
      </c>
      <c r="T247" s="21">
        <f>F247-R247</f>
        <v>30697.84</v>
      </c>
      <c r="U247" s="24" t="s">
        <v>36</v>
      </c>
    </row>
    <row r="248" spans="1:21" ht="15.75" customHeight="1">
      <c r="A248" s="23">
        <v>233</v>
      </c>
      <c r="B248" s="23" t="s">
        <v>324</v>
      </c>
      <c r="C248" s="23" t="s">
        <v>68</v>
      </c>
      <c r="D248" s="23" t="s">
        <v>138</v>
      </c>
      <c r="E248" s="24" t="s">
        <v>29</v>
      </c>
      <c r="F248" s="21">
        <v>18000</v>
      </c>
      <c r="G248" s="22">
        <v>0</v>
      </c>
      <c r="H248" s="22">
        <v>25</v>
      </c>
      <c r="I248" s="22">
        <v>0</v>
      </c>
      <c r="J248" s="22">
        <v>0</v>
      </c>
      <c r="K248" s="22">
        <f>F248*2.87%</f>
        <v>516.6</v>
      </c>
      <c r="L248" s="22">
        <f>F248*7.1%</f>
        <v>1277.9999999999998</v>
      </c>
      <c r="M248" s="22">
        <v>234</v>
      </c>
      <c r="N248" s="22">
        <v>547.20000000000005</v>
      </c>
      <c r="O248" s="22">
        <v>1276.2</v>
      </c>
      <c r="P248" s="22">
        <v>0</v>
      </c>
      <c r="Q248" s="21">
        <f>K248+N248</f>
        <v>1063.8000000000002</v>
      </c>
      <c r="R248" s="21">
        <f>G248+H248+I248+J248+K248+N248+P248</f>
        <v>1088.8000000000002</v>
      </c>
      <c r="S248" s="21">
        <f>L248+M248+O248</f>
        <v>2788.2</v>
      </c>
      <c r="T248" s="21">
        <f>F248-R248</f>
        <v>16911.2</v>
      </c>
      <c r="U248" s="24" t="s">
        <v>36</v>
      </c>
    </row>
    <row r="249" spans="1:21" ht="15.75" customHeight="1">
      <c r="A249" s="23">
        <v>234</v>
      </c>
      <c r="B249" s="23" t="s">
        <v>325</v>
      </c>
      <c r="C249" s="23" t="s">
        <v>326</v>
      </c>
      <c r="D249" s="23" t="s">
        <v>61</v>
      </c>
      <c r="E249" s="24" t="s">
        <v>29</v>
      </c>
      <c r="F249" s="21">
        <v>25000</v>
      </c>
      <c r="G249" s="22">
        <v>0</v>
      </c>
      <c r="H249" s="22">
        <v>25</v>
      </c>
      <c r="I249" s="22">
        <v>0</v>
      </c>
      <c r="J249" s="22">
        <v>0</v>
      </c>
      <c r="K249" s="22">
        <f>F249*2.87%</f>
        <v>717.5</v>
      </c>
      <c r="L249" s="22">
        <f>F249*7.1%</f>
        <v>1774.9999999999998</v>
      </c>
      <c r="M249" s="22">
        <v>325</v>
      </c>
      <c r="N249" s="22">
        <v>760</v>
      </c>
      <c r="O249" s="22">
        <v>1772.5000000000002</v>
      </c>
      <c r="P249" s="22">
        <v>0</v>
      </c>
      <c r="Q249" s="21">
        <f>K249+N249</f>
        <v>1477.5</v>
      </c>
      <c r="R249" s="21">
        <f>G249+H249+I249+J249+K249+N249+P249</f>
        <v>1502.5</v>
      </c>
      <c r="S249" s="21">
        <f>L249+M249+O249</f>
        <v>3872.5</v>
      </c>
      <c r="T249" s="21">
        <f>F249-R249</f>
        <v>23497.5</v>
      </c>
      <c r="U249" s="24" t="s">
        <v>36</v>
      </c>
    </row>
    <row r="250" spans="1:21" ht="15.75" customHeight="1">
      <c r="A250" s="19">
        <v>235</v>
      </c>
      <c r="B250" s="23" t="s">
        <v>327</v>
      </c>
      <c r="C250" s="23" t="s">
        <v>66</v>
      </c>
      <c r="D250" s="23" t="s">
        <v>58</v>
      </c>
      <c r="E250" s="24" t="s">
        <v>29</v>
      </c>
      <c r="F250" s="21">
        <v>24000</v>
      </c>
      <c r="G250" s="22">
        <v>0</v>
      </c>
      <c r="H250" s="22">
        <v>25</v>
      </c>
      <c r="I250" s="22">
        <v>0</v>
      </c>
      <c r="J250" s="22">
        <v>0</v>
      </c>
      <c r="K250" s="22">
        <f>F250*2.87%</f>
        <v>688.8</v>
      </c>
      <c r="L250" s="22">
        <f>F250*7.1%</f>
        <v>1703.9999999999998</v>
      </c>
      <c r="M250" s="22">
        <v>312</v>
      </c>
      <c r="N250" s="22">
        <v>729.6</v>
      </c>
      <c r="O250" s="22">
        <v>1701.6000000000001</v>
      </c>
      <c r="P250" s="22">
        <v>0</v>
      </c>
      <c r="Q250" s="21">
        <f>K250+N250</f>
        <v>1418.4</v>
      </c>
      <c r="R250" s="21">
        <f>G250+H250+I250+J250+K250+N250+P250</f>
        <v>1443.4</v>
      </c>
      <c r="S250" s="21">
        <f>L250+M250+O250</f>
        <v>3717.6</v>
      </c>
      <c r="T250" s="21">
        <f>F250-R250</f>
        <v>22556.6</v>
      </c>
      <c r="U250" s="24" t="s">
        <v>30</v>
      </c>
    </row>
    <row r="251" spans="1:21" ht="15.75" customHeight="1">
      <c r="A251" s="23">
        <v>236</v>
      </c>
      <c r="B251" s="23" t="s">
        <v>328</v>
      </c>
      <c r="C251" s="23" t="s">
        <v>77</v>
      </c>
      <c r="D251" s="23" t="s">
        <v>61</v>
      </c>
      <c r="E251" s="24" t="s">
        <v>29</v>
      </c>
      <c r="F251" s="21">
        <v>15000</v>
      </c>
      <c r="G251" s="22">
        <v>0</v>
      </c>
      <c r="H251" s="22">
        <v>25</v>
      </c>
      <c r="I251" s="22">
        <v>0</v>
      </c>
      <c r="J251" s="22">
        <v>0</v>
      </c>
      <c r="K251" s="22">
        <f>F251*2.87%</f>
        <v>430.5</v>
      </c>
      <c r="L251" s="22">
        <f>F251*7.1%</f>
        <v>1065</v>
      </c>
      <c r="M251" s="22">
        <v>195</v>
      </c>
      <c r="N251" s="22">
        <v>456</v>
      </c>
      <c r="O251" s="22">
        <v>1063.5</v>
      </c>
      <c r="P251" s="22">
        <v>0</v>
      </c>
      <c r="Q251" s="21">
        <f>K251+N251</f>
        <v>886.5</v>
      </c>
      <c r="R251" s="21">
        <f>G251+H251+I251+J251+K251+N251+P251</f>
        <v>911.5</v>
      </c>
      <c r="S251" s="21">
        <f>L251+M251+O251</f>
        <v>2323.5</v>
      </c>
      <c r="T251" s="21">
        <f>F251-R251</f>
        <v>14088.5</v>
      </c>
      <c r="U251" s="24" t="s">
        <v>30</v>
      </c>
    </row>
    <row r="252" spans="1:21" ht="15.75" customHeight="1">
      <c r="A252" s="23">
        <v>237</v>
      </c>
      <c r="B252" s="23" t="s">
        <v>329</v>
      </c>
      <c r="C252" s="23" t="s">
        <v>176</v>
      </c>
      <c r="D252" s="23" t="s">
        <v>58</v>
      </c>
      <c r="E252" s="24" t="s">
        <v>29</v>
      </c>
      <c r="F252" s="21">
        <v>10000</v>
      </c>
      <c r="G252" s="22">
        <v>0</v>
      </c>
      <c r="H252" s="22">
        <v>25</v>
      </c>
      <c r="I252" s="22">
        <v>0</v>
      </c>
      <c r="J252" s="22">
        <v>0</v>
      </c>
      <c r="K252" s="22">
        <f>F252*2.87%</f>
        <v>287</v>
      </c>
      <c r="L252" s="22">
        <f>F252*7.1%</f>
        <v>709.99999999999989</v>
      </c>
      <c r="M252" s="22">
        <v>130</v>
      </c>
      <c r="N252" s="22">
        <v>304</v>
      </c>
      <c r="O252" s="22">
        <v>709</v>
      </c>
      <c r="P252" s="22">
        <v>393</v>
      </c>
      <c r="Q252" s="21">
        <f>K252+N252</f>
        <v>591</v>
      </c>
      <c r="R252" s="21">
        <f>G252+H252+I252+J252+K252+N252+P252</f>
        <v>1009</v>
      </c>
      <c r="S252" s="21">
        <f>L252+M252+O252</f>
        <v>1549</v>
      </c>
      <c r="T252" s="21">
        <f>F252-R252</f>
        <v>8991</v>
      </c>
      <c r="U252" s="24" t="s">
        <v>30</v>
      </c>
    </row>
    <row r="253" spans="1:21" ht="15.75" customHeight="1">
      <c r="A253" s="19">
        <v>238</v>
      </c>
      <c r="B253" s="23" t="s">
        <v>330</v>
      </c>
      <c r="C253" s="23" t="s">
        <v>48</v>
      </c>
      <c r="D253" s="23" t="s">
        <v>41</v>
      </c>
      <c r="E253" s="24" t="s">
        <v>29</v>
      </c>
      <c r="F253" s="21">
        <v>20000</v>
      </c>
      <c r="G253" s="22">
        <v>0</v>
      </c>
      <c r="H253" s="22">
        <v>25</v>
      </c>
      <c r="I253" s="22">
        <v>0</v>
      </c>
      <c r="J253" s="22">
        <v>0</v>
      </c>
      <c r="K253" s="22">
        <f>F253*2.87%</f>
        <v>574</v>
      </c>
      <c r="L253" s="22">
        <f>F253*7.1%</f>
        <v>1419.9999999999998</v>
      </c>
      <c r="M253" s="22">
        <v>260</v>
      </c>
      <c r="N253" s="22">
        <v>608</v>
      </c>
      <c r="O253" s="22">
        <v>1418</v>
      </c>
      <c r="P253" s="22">
        <v>0</v>
      </c>
      <c r="Q253" s="21">
        <f>K253+N253</f>
        <v>1182</v>
      </c>
      <c r="R253" s="21">
        <f>G253+H253+I253+J253+K253+N253+P253</f>
        <v>1207</v>
      </c>
      <c r="S253" s="21">
        <f>L253+M253+O253</f>
        <v>3098</v>
      </c>
      <c r="T253" s="21">
        <f>F253-R253</f>
        <v>18793</v>
      </c>
      <c r="U253" s="24" t="s">
        <v>36</v>
      </c>
    </row>
    <row r="254" spans="1:21" ht="15.75" customHeight="1">
      <c r="A254" s="23">
        <v>239</v>
      </c>
      <c r="B254" s="23" t="s">
        <v>331</v>
      </c>
      <c r="C254" s="23" t="s">
        <v>48</v>
      </c>
      <c r="D254" s="23" t="s">
        <v>72</v>
      </c>
      <c r="E254" s="24" t="s">
        <v>29</v>
      </c>
      <c r="F254" s="21">
        <v>10000</v>
      </c>
      <c r="G254" s="22">
        <v>0</v>
      </c>
      <c r="H254" s="22">
        <v>25</v>
      </c>
      <c r="I254" s="22">
        <v>0</v>
      </c>
      <c r="J254" s="22">
        <f>1000+5323.32</f>
        <v>6323.32</v>
      </c>
      <c r="K254" s="22">
        <f>F254*2.87%</f>
        <v>287</v>
      </c>
      <c r="L254" s="22">
        <f>F254*7.1%</f>
        <v>709.99999999999989</v>
      </c>
      <c r="M254" s="22">
        <v>130</v>
      </c>
      <c r="N254" s="22">
        <v>304</v>
      </c>
      <c r="O254" s="22">
        <v>709</v>
      </c>
      <c r="P254" s="22">
        <v>0</v>
      </c>
      <c r="Q254" s="21">
        <f>K254+N254</f>
        <v>591</v>
      </c>
      <c r="R254" s="21">
        <f>G254+H254+I254+J254+K254+N254+P254</f>
        <v>6939.32</v>
      </c>
      <c r="S254" s="21">
        <f>L254+M254+O254</f>
        <v>1549</v>
      </c>
      <c r="T254" s="21">
        <f>F254-R254</f>
        <v>3060.6800000000003</v>
      </c>
      <c r="U254" s="24" t="s">
        <v>36</v>
      </c>
    </row>
    <row r="255" spans="1:21" ht="15.75" customHeight="1">
      <c r="A255" s="23">
        <v>240</v>
      </c>
      <c r="B255" s="23" t="s">
        <v>332</v>
      </c>
      <c r="C255" s="23" t="s">
        <v>77</v>
      </c>
      <c r="D255" s="23" t="s">
        <v>58</v>
      </c>
      <c r="E255" s="24" t="s">
        <v>29</v>
      </c>
      <c r="F255" s="21">
        <v>10000</v>
      </c>
      <c r="G255" s="22">
        <v>0</v>
      </c>
      <c r="H255" s="22">
        <v>25</v>
      </c>
      <c r="I255" s="22">
        <v>0</v>
      </c>
      <c r="J255" s="22">
        <v>0</v>
      </c>
      <c r="K255" s="22">
        <f>F255*2.87%</f>
        <v>287</v>
      </c>
      <c r="L255" s="22">
        <f>F255*7.1%</f>
        <v>709.99999999999989</v>
      </c>
      <c r="M255" s="22">
        <v>130</v>
      </c>
      <c r="N255" s="22">
        <v>304</v>
      </c>
      <c r="O255" s="22">
        <v>709</v>
      </c>
      <c r="P255" s="22">
        <v>0</v>
      </c>
      <c r="Q255" s="21">
        <f>K255+N255</f>
        <v>591</v>
      </c>
      <c r="R255" s="21">
        <f>G255+H255+I255+J255+K255+N255+P255</f>
        <v>616</v>
      </c>
      <c r="S255" s="21">
        <f>L255+M255+O255</f>
        <v>1549</v>
      </c>
      <c r="T255" s="21">
        <f>F255-R255</f>
        <v>9384</v>
      </c>
      <c r="U255" s="24" t="s">
        <v>36</v>
      </c>
    </row>
    <row r="256" spans="1:21" ht="15.75" customHeight="1">
      <c r="A256" s="19">
        <v>241</v>
      </c>
      <c r="B256" s="23" t="s">
        <v>333</v>
      </c>
      <c r="C256" s="23" t="s">
        <v>68</v>
      </c>
      <c r="D256" s="23" t="s">
        <v>69</v>
      </c>
      <c r="E256" s="24" t="s">
        <v>29</v>
      </c>
      <c r="F256" s="21">
        <v>20000</v>
      </c>
      <c r="G256" s="22">
        <v>0</v>
      </c>
      <c r="H256" s="22">
        <v>25</v>
      </c>
      <c r="I256" s="22">
        <v>0</v>
      </c>
      <c r="J256" s="22">
        <f>700+300+2366.26</f>
        <v>3366.26</v>
      </c>
      <c r="K256" s="22">
        <f>F256*2.87%</f>
        <v>574</v>
      </c>
      <c r="L256" s="22">
        <f>F256*7.1%</f>
        <v>1419.9999999999998</v>
      </c>
      <c r="M256" s="22">
        <v>260</v>
      </c>
      <c r="N256" s="22">
        <v>608</v>
      </c>
      <c r="O256" s="22">
        <v>1418</v>
      </c>
      <c r="P256" s="22">
        <v>0</v>
      </c>
      <c r="Q256" s="21">
        <f>K256+N256</f>
        <v>1182</v>
      </c>
      <c r="R256" s="21">
        <f>G256+H256+I256+J256+K256+N256+P256</f>
        <v>4573.26</v>
      </c>
      <c r="S256" s="21">
        <f>L256+M256+O256</f>
        <v>3098</v>
      </c>
      <c r="T256" s="21">
        <f>F256-R256</f>
        <v>15426.74</v>
      </c>
      <c r="U256" s="24" t="s">
        <v>30</v>
      </c>
    </row>
    <row r="257" spans="1:21" ht="15.75" customHeight="1">
      <c r="A257" s="23">
        <v>242</v>
      </c>
      <c r="B257" s="23" t="s">
        <v>334</v>
      </c>
      <c r="C257" s="23" t="s">
        <v>335</v>
      </c>
      <c r="D257" s="23" t="s">
        <v>138</v>
      </c>
      <c r="E257" s="24" t="s">
        <v>29</v>
      </c>
      <c r="F257" s="21">
        <v>36000</v>
      </c>
      <c r="G257" s="22">
        <v>0</v>
      </c>
      <c r="H257" s="22">
        <v>25</v>
      </c>
      <c r="I257" s="22">
        <v>0</v>
      </c>
      <c r="J257" s="22">
        <v>0</v>
      </c>
      <c r="K257" s="22">
        <f>F257*2.87%</f>
        <v>1033.2</v>
      </c>
      <c r="L257" s="22">
        <f>F257*7.1%</f>
        <v>2555.9999999999995</v>
      </c>
      <c r="M257" s="22">
        <v>468</v>
      </c>
      <c r="N257" s="22">
        <v>1094.4000000000001</v>
      </c>
      <c r="O257" s="22">
        <v>2552.4</v>
      </c>
      <c r="P257" s="22">
        <v>0</v>
      </c>
      <c r="Q257" s="21">
        <f>K257+N257</f>
        <v>2127.6000000000004</v>
      </c>
      <c r="R257" s="21">
        <f>G257+H257+I257+J257+K257+N257+P257</f>
        <v>2152.6000000000004</v>
      </c>
      <c r="S257" s="21">
        <f>L257+M257+O257</f>
        <v>5576.4</v>
      </c>
      <c r="T257" s="21">
        <f>F257-R257</f>
        <v>33847.4</v>
      </c>
      <c r="U257" s="24" t="s">
        <v>30</v>
      </c>
    </row>
    <row r="258" spans="1:21" ht="15.75" customHeight="1">
      <c r="A258" s="23">
        <v>243</v>
      </c>
      <c r="B258" s="23" t="s">
        <v>336</v>
      </c>
      <c r="C258" s="23" t="s">
        <v>176</v>
      </c>
      <c r="D258" s="23" t="s">
        <v>177</v>
      </c>
      <c r="E258" s="24" t="s">
        <v>29</v>
      </c>
      <c r="F258" s="21">
        <v>18000</v>
      </c>
      <c r="G258" s="22">
        <v>0</v>
      </c>
      <c r="H258" s="22">
        <v>25</v>
      </c>
      <c r="I258" s="22">
        <v>0</v>
      </c>
      <c r="J258" s="22">
        <v>0</v>
      </c>
      <c r="K258" s="22">
        <f>F258*2.87%</f>
        <v>516.6</v>
      </c>
      <c r="L258" s="22">
        <f>F258*7.1%</f>
        <v>1277.9999999999998</v>
      </c>
      <c r="M258" s="22">
        <v>234</v>
      </c>
      <c r="N258" s="22">
        <v>547.20000000000005</v>
      </c>
      <c r="O258" s="22">
        <v>1276.2</v>
      </c>
      <c r="P258" s="22">
        <v>0</v>
      </c>
      <c r="Q258" s="21">
        <f>K258+N258</f>
        <v>1063.8000000000002</v>
      </c>
      <c r="R258" s="21">
        <f>G258+H258+I258+J258+K258+N258+P258</f>
        <v>1088.8000000000002</v>
      </c>
      <c r="S258" s="21">
        <f>L258+M258+O258</f>
        <v>2788.2</v>
      </c>
      <c r="T258" s="21">
        <f>F258-R258</f>
        <v>16911.2</v>
      </c>
      <c r="U258" s="24" t="s">
        <v>30</v>
      </c>
    </row>
    <row r="259" spans="1:21" ht="15.75" customHeight="1">
      <c r="A259" s="19">
        <v>244</v>
      </c>
      <c r="B259" s="23" t="s">
        <v>337</v>
      </c>
      <c r="C259" s="23" t="s">
        <v>57</v>
      </c>
      <c r="D259" s="23" t="s">
        <v>72</v>
      </c>
      <c r="E259" s="24" t="s">
        <v>29</v>
      </c>
      <c r="F259" s="21">
        <v>10000</v>
      </c>
      <c r="G259" s="22">
        <v>0</v>
      </c>
      <c r="H259" s="22">
        <v>25</v>
      </c>
      <c r="I259" s="22">
        <v>0</v>
      </c>
      <c r="J259" s="22">
        <v>0</v>
      </c>
      <c r="K259" s="22">
        <f>F259*2.87%</f>
        <v>287</v>
      </c>
      <c r="L259" s="22">
        <f>F259*7.1%</f>
        <v>709.99999999999989</v>
      </c>
      <c r="M259" s="22">
        <v>130</v>
      </c>
      <c r="N259" s="22">
        <v>304</v>
      </c>
      <c r="O259" s="22">
        <v>709</v>
      </c>
      <c r="P259" s="22">
        <v>0</v>
      </c>
      <c r="Q259" s="21">
        <f>K259+N259</f>
        <v>591</v>
      </c>
      <c r="R259" s="21">
        <f>G259+H259+I259+J259+K259+N259+P259</f>
        <v>616</v>
      </c>
      <c r="S259" s="21">
        <f>L259+M259+O259</f>
        <v>1549</v>
      </c>
      <c r="T259" s="21">
        <f>F259-R259</f>
        <v>9384</v>
      </c>
      <c r="U259" s="24" t="s">
        <v>30</v>
      </c>
    </row>
    <row r="260" spans="1:21" ht="15.75" customHeight="1">
      <c r="A260" s="23">
        <v>245</v>
      </c>
      <c r="B260" s="23" t="s">
        <v>338</v>
      </c>
      <c r="C260" s="23" t="s">
        <v>287</v>
      </c>
      <c r="D260" s="23" t="s">
        <v>110</v>
      </c>
      <c r="E260" s="24" t="s">
        <v>29</v>
      </c>
      <c r="F260" s="21">
        <v>25000</v>
      </c>
      <c r="G260" s="22">
        <v>0</v>
      </c>
      <c r="H260" s="22">
        <v>25</v>
      </c>
      <c r="I260" s="22">
        <v>0</v>
      </c>
      <c r="J260" s="22">
        <v>0</v>
      </c>
      <c r="K260" s="22">
        <f>F260*2.87%</f>
        <v>717.5</v>
      </c>
      <c r="L260" s="22">
        <f>F260*7.1%</f>
        <v>1774.9999999999998</v>
      </c>
      <c r="M260" s="22">
        <v>325</v>
      </c>
      <c r="N260" s="22">
        <v>760</v>
      </c>
      <c r="O260" s="22">
        <v>1772.5000000000002</v>
      </c>
      <c r="P260" s="22">
        <v>0</v>
      </c>
      <c r="Q260" s="21">
        <f>K260+N260</f>
        <v>1477.5</v>
      </c>
      <c r="R260" s="21">
        <f>G260+H260+I260+J260+K260+N260+P260</f>
        <v>1502.5</v>
      </c>
      <c r="S260" s="21">
        <f>L260+M260+O260</f>
        <v>3872.5</v>
      </c>
      <c r="T260" s="21">
        <f>F260-R260</f>
        <v>23497.5</v>
      </c>
      <c r="U260" s="24" t="s">
        <v>30</v>
      </c>
    </row>
    <row r="261" spans="1:21" ht="15.75" customHeight="1">
      <c r="A261" s="23">
        <v>246</v>
      </c>
      <c r="B261" s="23" t="s">
        <v>339</v>
      </c>
      <c r="C261" s="23" t="s">
        <v>77</v>
      </c>
      <c r="D261" s="23" t="s">
        <v>110</v>
      </c>
      <c r="E261" s="24" t="s">
        <v>29</v>
      </c>
      <c r="F261" s="21">
        <v>15000</v>
      </c>
      <c r="G261" s="22">
        <v>0</v>
      </c>
      <c r="H261" s="22">
        <v>25</v>
      </c>
      <c r="I261" s="22">
        <v>0</v>
      </c>
      <c r="J261" s="22">
        <v>0</v>
      </c>
      <c r="K261" s="22">
        <f>F261*2.87%</f>
        <v>430.5</v>
      </c>
      <c r="L261" s="22">
        <f>F261*7.1%</f>
        <v>1065</v>
      </c>
      <c r="M261" s="22">
        <v>195</v>
      </c>
      <c r="N261" s="22">
        <v>456</v>
      </c>
      <c r="O261" s="22">
        <v>1063.5</v>
      </c>
      <c r="P261" s="22">
        <v>0</v>
      </c>
      <c r="Q261" s="21">
        <f>K261+N261</f>
        <v>886.5</v>
      </c>
      <c r="R261" s="21">
        <f>G261+H261+I261+J261+K261+N261+P261</f>
        <v>911.5</v>
      </c>
      <c r="S261" s="21">
        <f>L261+M261+O261</f>
        <v>2323.5</v>
      </c>
      <c r="T261" s="21">
        <f>F261-R261</f>
        <v>14088.5</v>
      </c>
      <c r="U261" s="24" t="s">
        <v>30</v>
      </c>
    </row>
    <row r="262" spans="1:21" ht="15.75" customHeight="1">
      <c r="A262" s="19">
        <v>247</v>
      </c>
      <c r="B262" s="23" t="s">
        <v>340</v>
      </c>
      <c r="C262" s="23" t="s">
        <v>77</v>
      </c>
      <c r="D262" s="23" t="s">
        <v>78</v>
      </c>
      <c r="E262" s="24" t="s">
        <v>29</v>
      </c>
      <c r="F262" s="21">
        <v>10000</v>
      </c>
      <c r="G262" s="22">
        <v>0</v>
      </c>
      <c r="H262" s="22">
        <v>25</v>
      </c>
      <c r="I262" s="22">
        <v>0</v>
      </c>
      <c r="J262" s="22">
        <v>0</v>
      </c>
      <c r="K262" s="22">
        <f>F262*2.87%</f>
        <v>287</v>
      </c>
      <c r="L262" s="22">
        <f>F262*7.1%</f>
        <v>709.99999999999989</v>
      </c>
      <c r="M262" s="22">
        <v>130</v>
      </c>
      <c r="N262" s="22">
        <v>304</v>
      </c>
      <c r="O262" s="22">
        <v>709</v>
      </c>
      <c r="P262" s="22">
        <v>0</v>
      </c>
      <c r="Q262" s="21">
        <f>K262+N262</f>
        <v>591</v>
      </c>
      <c r="R262" s="21">
        <f>G262+H262+I262+J262+K262+N262+P262</f>
        <v>616</v>
      </c>
      <c r="S262" s="21">
        <f>L262+M262+O262</f>
        <v>1549</v>
      </c>
      <c r="T262" s="21">
        <f>F262-R262</f>
        <v>9384</v>
      </c>
      <c r="U262" s="24" t="s">
        <v>30</v>
      </c>
    </row>
    <row r="263" spans="1:21" ht="15.75" customHeight="1">
      <c r="A263" s="23">
        <v>248</v>
      </c>
      <c r="B263" s="23" t="s">
        <v>341</v>
      </c>
      <c r="C263" s="23" t="s">
        <v>63</v>
      </c>
      <c r="D263" s="23" t="s">
        <v>98</v>
      </c>
      <c r="E263" s="24" t="s">
        <v>29</v>
      </c>
      <c r="F263" s="21">
        <v>25000</v>
      </c>
      <c r="G263" s="22">
        <v>0</v>
      </c>
      <c r="H263" s="22">
        <v>25</v>
      </c>
      <c r="I263" s="22">
        <v>0</v>
      </c>
      <c r="J263" s="22">
        <f>1300+300+2094.41+2848</f>
        <v>6542.41</v>
      </c>
      <c r="K263" s="22">
        <f>F263*2.87%</f>
        <v>717.5</v>
      </c>
      <c r="L263" s="22">
        <f>F263*7.1%</f>
        <v>1774.9999999999998</v>
      </c>
      <c r="M263" s="22">
        <v>325</v>
      </c>
      <c r="N263" s="22">
        <v>760</v>
      </c>
      <c r="O263" s="22">
        <v>1772.5000000000002</v>
      </c>
      <c r="P263" s="22">
        <v>0</v>
      </c>
      <c r="Q263" s="21">
        <f>K263+N263</f>
        <v>1477.5</v>
      </c>
      <c r="R263" s="21">
        <f>G263+H263+I263+J263+K263+N263+P263</f>
        <v>8044.91</v>
      </c>
      <c r="S263" s="21">
        <f>L263+M263+O263</f>
        <v>3872.5</v>
      </c>
      <c r="T263" s="21">
        <f>F263-R263</f>
        <v>16955.09</v>
      </c>
      <c r="U263" s="24" t="s">
        <v>30</v>
      </c>
    </row>
    <row r="264" spans="1:21" ht="15.75" customHeight="1">
      <c r="A264" s="23">
        <v>249</v>
      </c>
      <c r="B264" s="23" t="s">
        <v>342</v>
      </c>
      <c r="C264" s="23" t="s">
        <v>77</v>
      </c>
      <c r="D264" s="23" t="s">
        <v>78</v>
      </c>
      <c r="E264" s="24" t="s">
        <v>29</v>
      </c>
      <c r="F264" s="21">
        <v>10000</v>
      </c>
      <c r="G264" s="22">
        <v>0</v>
      </c>
      <c r="H264" s="22">
        <v>25</v>
      </c>
      <c r="I264" s="22">
        <v>0</v>
      </c>
      <c r="J264" s="22">
        <v>0</v>
      </c>
      <c r="K264" s="22">
        <f>F264*2.87%</f>
        <v>287</v>
      </c>
      <c r="L264" s="22">
        <f>F264*7.1%</f>
        <v>709.99999999999989</v>
      </c>
      <c r="M264" s="22">
        <v>130</v>
      </c>
      <c r="N264" s="22">
        <v>304</v>
      </c>
      <c r="O264" s="22">
        <v>709</v>
      </c>
      <c r="P264" s="22">
        <v>0</v>
      </c>
      <c r="Q264" s="21">
        <f>K264+N264</f>
        <v>591</v>
      </c>
      <c r="R264" s="21">
        <f>G264+H264+I264+J264+K264+N264+P264</f>
        <v>616</v>
      </c>
      <c r="S264" s="21">
        <f>L264+M264+O264</f>
        <v>1549</v>
      </c>
      <c r="T264" s="21">
        <f>F264-R264</f>
        <v>9384</v>
      </c>
      <c r="U264" s="24" t="s">
        <v>30</v>
      </c>
    </row>
    <row r="265" spans="1:21" ht="15.75" customHeight="1">
      <c r="A265" s="19">
        <v>250</v>
      </c>
      <c r="B265" s="23" t="s">
        <v>343</v>
      </c>
      <c r="C265" s="23" t="s">
        <v>66</v>
      </c>
      <c r="D265" s="23" t="s">
        <v>58</v>
      </c>
      <c r="E265" s="24" t="s">
        <v>29</v>
      </c>
      <c r="F265" s="21">
        <v>30000</v>
      </c>
      <c r="G265" s="22">
        <v>0</v>
      </c>
      <c r="H265" s="22">
        <v>25</v>
      </c>
      <c r="I265" s="22">
        <v>0</v>
      </c>
      <c r="J265" s="22">
        <v>0</v>
      </c>
      <c r="K265" s="22">
        <f>F265*2.87%</f>
        <v>861</v>
      </c>
      <c r="L265" s="22">
        <f>F265*7.1%</f>
        <v>2130</v>
      </c>
      <c r="M265" s="22">
        <v>390</v>
      </c>
      <c r="N265" s="22">
        <v>912</v>
      </c>
      <c r="O265" s="22">
        <v>2127</v>
      </c>
      <c r="P265" s="22">
        <v>0</v>
      </c>
      <c r="Q265" s="21">
        <f>K265+N265</f>
        <v>1773</v>
      </c>
      <c r="R265" s="21">
        <f>G265+H265+I265+J265+K265+N265+P265</f>
        <v>1798</v>
      </c>
      <c r="S265" s="21">
        <f>L265+M265+O265</f>
        <v>4647</v>
      </c>
      <c r="T265" s="21">
        <f>F265-R265</f>
        <v>28202</v>
      </c>
      <c r="U265" s="24" t="s">
        <v>30</v>
      </c>
    </row>
    <row r="266" spans="1:21" ht="15.75" customHeight="1">
      <c r="A266" s="23">
        <v>251</v>
      </c>
      <c r="B266" s="23" t="s">
        <v>344</v>
      </c>
      <c r="C266" s="23" t="s">
        <v>51</v>
      </c>
      <c r="D266" s="23" t="s">
        <v>52</v>
      </c>
      <c r="E266" s="24" t="s">
        <v>29</v>
      </c>
      <c r="F266" s="21">
        <v>20000</v>
      </c>
      <c r="G266" s="22">
        <v>0</v>
      </c>
      <c r="H266" s="22">
        <v>25</v>
      </c>
      <c r="I266" s="22">
        <v>0</v>
      </c>
      <c r="J266" s="22">
        <v>0</v>
      </c>
      <c r="K266" s="22">
        <f>F266*2.87%</f>
        <v>574</v>
      </c>
      <c r="L266" s="22">
        <f>F266*7.1%</f>
        <v>1419.9999999999998</v>
      </c>
      <c r="M266" s="22">
        <v>260</v>
      </c>
      <c r="N266" s="22">
        <v>608</v>
      </c>
      <c r="O266" s="22">
        <v>1418</v>
      </c>
      <c r="P266" s="22">
        <v>0</v>
      </c>
      <c r="Q266" s="21">
        <f>K266+N266</f>
        <v>1182</v>
      </c>
      <c r="R266" s="21">
        <f>G266+H266+I266+J266+K266+N266+P266</f>
        <v>1207</v>
      </c>
      <c r="S266" s="21">
        <f>L266+M266+O266</f>
        <v>3098</v>
      </c>
      <c r="T266" s="21">
        <f>F266-R266</f>
        <v>18793</v>
      </c>
      <c r="U266" s="24" t="s">
        <v>30</v>
      </c>
    </row>
    <row r="267" spans="1:21" ht="15.75" customHeight="1">
      <c r="A267" s="23">
        <v>252</v>
      </c>
      <c r="B267" s="23" t="s">
        <v>345</v>
      </c>
      <c r="C267" s="23" t="s">
        <v>63</v>
      </c>
      <c r="D267" s="23" t="s">
        <v>98</v>
      </c>
      <c r="E267" s="24" t="s">
        <v>29</v>
      </c>
      <c r="F267" s="21">
        <v>20000</v>
      </c>
      <c r="G267" s="22">
        <v>0</v>
      </c>
      <c r="H267" s="22">
        <v>25</v>
      </c>
      <c r="I267" s="22">
        <v>0</v>
      </c>
      <c r="J267" s="22">
        <v>0</v>
      </c>
      <c r="K267" s="22">
        <f>F267*2.87%</f>
        <v>574</v>
      </c>
      <c r="L267" s="22">
        <f>F267*7.1%</f>
        <v>1419.9999999999998</v>
      </c>
      <c r="M267" s="22">
        <v>260</v>
      </c>
      <c r="N267" s="22">
        <v>608</v>
      </c>
      <c r="O267" s="22">
        <v>1418</v>
      </c>
      <c r="P267" s="22">
        <v>0</v>
      </c>
      <c r="Q267" s="21">
        <f>K267+N267</f>
        <v>1182</v>
      </c>
      <c r="R267" s="21">
        <f>G267+H267+I267+J267+K267+N267+P267</f>
        <v>1207</v>
      </c>
      <c r="S267" s="21">
        <f>L267+M267+O267</f>
        <v>3098</v>
      </c>
      <c r="T267" s="21">
        <f>F267-R267</f>
        <v>18793</v>
      </c>
      <c r="U267" s="24" t="s">
        <v>30</v>
      </c>
    </row>
    <row r="268" spans="1:21" ht="15.75" customHeight="1">
      <c r="A268" s="19">
        <v>253</v>
      </c>
      <c r="B268" s="23" t="s">
        <v>346</v>
      </c>
      <c r="C268" s="23" t="s">
        <v>77</v>
      </c>
      <c r="D268" s="23" t="s">
        <v>78</v>
      </c>
      <c r="E268" s="24" t="s">
        <v>29</v>
      </c>
      <c r="F268" s="21">
        <v>10000</v>
      </c>
      <c r="G268" s="22">
        <v>0</v>
      </c>
      <c r="H268" s="22">
        <v>25</v>
      </c>
      <c r="I268" s="22">
        <v>0</v>
      </c>
      <c r="J268" s="22">
        <v>0</v>
      </c>
      <c r="K268" s="22">
        <f>F268*2.87%</f>
        <v>287</v>
      </c>
      <c r="L268" s="22">
        <f>F268*7.1%</f>
        <v>709.99999999999989</v>
      </c>
      <c r="M268" s="22">
        <v>130</v>
      </c>
      <c r="N268" s="22">
        <v>304</v>
      </c>
      <c r="O268" s="22">
        <v>709</v>
      </c>
      <c r="P268" s="22">
        <v>0</v>
      </c>
      <c r="Q268" s="21">
        <f>K268+N268</f>
        <v>591</v>
      </c>
      <c r="R268" s="21">
        <f>G268+H268+I268+J268+K268+N268+P268</f>
        <v>616</v>
      </c>
      <c r="S268" s="21">
        <f>L268+M268+O268</f>
        <v>1549</v>
      </c>
      <c r="T268" s="21">
        <f>F268-R268</f>
        <v>9384</v>
      </c>
      <c r="U268" s="24" t="s">
        <v>30</v>
      </c>
    </row>
    <row r="269" spans="1:21" ht="15.75" customHeight="1">
      <c r="A269" s="23">
        <v>254</v>
      </c>
      <c r="B269" s="23" t="s">
        <v>347</v>
      </c>
      <c r="C269" s="23" t="s">
        <v>48</v>
      </c>
      <c r="D269" s="23" t="s">
        <v>86</v>
      </c>
      <c r="E269" s="24" t="s">
        <v>29</v>
      </c>
      <c r="F269" s="21">
        <v>25000</v>
      </c>
      <c r="G269" s="22">
        <v>0</v>
      </c>
      <c r="H269" s="22">
        <v>25</v>
      </c>
      <c r="I269" s="22">
        <v>0</v>
      </c>
      <c r="J269" s="22">
        <v>0</v>
      </c>
      <c r="K269" s="22">
        <f>F269*2.87%</f>
        <v>717.5</v>
      </c>
      <c r="L269" s="22">
        <f>F269*7.1%</f>
        <v>1774.9999999999998</v>
      </c>
      <c r="M269" s="22">
        <v>325</v>
      </c>
      <c r="N269" s="22">
        <v>760</v>
      </c>
      <c r="O269" s="22">
        <v>1772.5000000000002</v>
      </c>
      <c r="P269" s="22">
        <v>0</v>
      </c>
      <c r="Q269" s="21">
        <f>K269+N269</f>
        <v>1477.5</v>
      </c>
      <c r="R269" s="21">
        <f>G269+H269+I269+J269+K269+N269+P269</f>
        <v>1502.5</v>
      </c>
      <c r="S269" s="21">
        <f>L269+M269+O269</f>
        <v>3872.5</v>
      </c>
      <c r="T269" s="21">
        <f>F269-R269</f>
        <v>23497.5</v>
      </c>
      <c r="U269" s="24" t="s">
        <v>36</v>
      </c>
    </row>
    <row r="270" spans="1:21" ht="15.75" customHeight="1">
      <c r="A270" s="23">
        <v>255</v>
      </c>
      <c r="B270" s="23" t="s">
        <v>348</v>
      </c>
      <c r="C270" s="23" t="s">
        <v>57</v>
      </c>
      <c r="D270" s="23" t="s">
        <v>58</v>
      </c>
      <c r="E270" s="24" t="s">
        <v>29</v>
      </c>
      <c r="F270" s="21">
        <v>10000</v>
      </c>
      <c r="G270" s="22">
        <v>0</v>
      </c>
      <c r="H270" s="22">
        <v>25</v>
      </c>
      <c r="I270" s="22">
        <v>0</v>
      </c>
      <c r="J270" s="22">
        <f>500+1000+1652.51</f>
        <v>3152.51</v>
      </c>
      <c r="K270" s="22">
        <f>F270*2.87%</f>
        <v>287</v>
      </c>
      <c r="L270" s="22">
        <f>F270*7.1%</f>
        <v>709.99999999999989</v>
      </c>
      <c r="M270" s="22">
        <v>130</v>
      </c>
      <c r="N270" s="22">
        <v>304</v>
      </c>
      <c r="O270" s="22">
        <v>709</v>
      </c>
      <c r="P270" s="22">
        <v>0</v>
      </c>
      <c r="Q270" s="21">
        <f>K270+N270</f>
        <v>591</v>
      </c>
      <c r="R270" s="21">
        <f>G270+H270+I270+J270+K270+N270+P270</f>
        <v>3768.51</v>
      </c>
      <c r="S270" s="21">
        <f>L270+M270+O270</f>
        <v>1549</v>
      </c>
      <c r="T270" s="21">
        <f>F270-R270</f>
        <v>6231.49</v>
      </c>
      <c r="U270" s="24" t="s">
        <v>36</v>
      </c>
    </row>
    <row r="271" spans="1:21" ht="15.75" customHeight="1">
      <c r="A271" s="19">
        <v>256</v>
      </c>
      <c r="B271" s="23" t="s">
        <v>349</v>
      </c>
      <c r="C271" s="23" t="s">
        <v>66</v>
      </c>
      <c r="D271" s="23" t="s">
        <v>61</v>
      </c>
      <c r="E271" s="24" t="s">
        <v>29</v>
      </c>
      <c r="F271" s="21">
        <v>25000</v>
      </c>
      <c r="G271" s="22">
        <v>0</v>
      </c>
      <c r="H271" s="22">
        <v>25</v>
      </c>
      <c r="I271" s="22">
        <v>0</v>
      </c>
      <c r="J271" s="22">
        <v>0</v>
      </c>
      <c r="K271" s="22">
        <f>F271*2.87%</f>
        <v>717.5</v>
      </c>
      <c r="L271" s="22">
        <f>F271*7.1%</f>
        <v>1774.9999999999998</v>
      </c>
      <c r="M271" s="22">
        <v>325</v>
      </c>
      <c r="N271" s="22">
        <v>760</v>
      </c>
      <c r="O271" s="22">
        <v>1772.5000000000002</v>
      </c>
      <c r="P271" s="22">
        <v>0</v>
      </c>
      <c r="Q271" s="21">
        <f>K271+N271</f>
        <v>1477.5</v>
      </c>
      <c r="R271" s="21">
        <f>G271+H271+I271+J271+K271+N271+P271</f>
        <v>1502.5</v>
      </c>
      <c r="S271" s="21">
        <f>L271+M271+O271</f>
        <v>3872.5</v>
      </c>
      <c r="T271" s="21">
        <f>F271-R271</f>
        <v>23497.5</v>
      </c>
      <c r="U271" s="24" t="s">
        <v>36</v>
      </c>
    </row>
    <row r="272" spans="1:21" ht="15.75" customHeight="1">
      <c r="A272" s="23">
        <v>257</v>
      </c>
      <c r="B272" s="23" t="s">
        <v>350</v>
      </c>
      <c r="C272" s="23" t="s">
        <v>68</v>
      </c>
      <c r="D272" s="23" t="s">
        <v>351</v>
      </c>
      <c r="E272" s="24" t="s">
        <v>29</v>
      </c>
      <c r="F272" s="21">
        <v>15000</v>
      </c>
      <c r="G272" s="22">
        <v>0</v>
      </c>
      <c r="H272" s="22">
        <v>25</v>
      </c>
      <c r="I272" s="22">
        <v>0</v>
      </c>
      <c r="J272" s="22">
        <v>0</v>
      </c>
      <c r="K272" s="22">
        <f>F272*2.87%</f>
        <v>430.5</v>
      </c>
      <c r="L272" s="22">
        <f>F272*7.1%</f>
        <v>1065</v>
      </c>
      <c r="M272" s="22">
        <v>195</v>
      </c>
      <c r="N272" s="22">
        <v>456</v>
      </c>
      <c r="O272" s="22">
        <v>1063.5</v>
      </c>
      <c r="P272" s="22">
        <v>0</v>
      </c>
      <c r="Q272" s="21">
        <f>K272+N272</f>
        <v>886.5</v>
      </c>
      <c r="R272" s="21">
        <f>G272+H272+I272+J272+K272+N272+P272</f>
        <v>911.5</v>
      </c>
      <c r="S272" s="21">
        <f>L272+M272+O272</f>
        <v>2323.5</v>
      </c>
      <c r="T272" s="21">
        <f>F272-R272</f>
        <v>14088.5</v>
      </c>
      <c r="U272" s="24" t="s">
        <v>36</v>
      </c>
    </row>
    <row r="273" spans="1:21" ht="15.75" customHeight="1">
      <c r="A273" s="23">
        <v>258</v>
      </c>
      <c r="B273" s="23" t="s">
        <v>352</v>
      </c>
      <c r="C273" s="23" t="s">
        <v>161</v>
      </c>
      <c r="D273" s="23" t="s">
        <v>98</v>
      </c>
      <c r="E273" s="24" t="s">
        <v>29</v>
      </c>
      <c r="F273" s="21">
        <v>20000</v>
      </c>
      <c r="G273" s="22">
        <v>0</v>
      </c>
      <c r="H273" s="22">
        <v>25</v>
      </c>
      <c r="I273" s="22">
        <v>0</v>
      </c>
      <c r="J273" s="22">
        <f>700+300+2622.8</f>
        <v>3622.8</v>
      </c>
      <c r="K273" s="22">
        <f>F273*2.87%</f>
        <v>574</v>
      </c>
      <c r="L273" s="22">
        <f>F273*7.1%</f>
        <v>1419.9999999999998</v>
      </c>
      <c r="M273" s="22">
        <v>260</v>
      </c>
      <c r="N273" s="22">
        <v>608</v>
      </c>
      <c r="O273" s="22">
        <v>1418</v>
      </c>
      <c r="P273" s="22">
        <v>0</v>
      </c>
      <c r="Q273" s="21">
        <f>K273+N273</f>
        <v>1182</v>
      </c>
      <c r="R273" s="21">
        <f>G273+H273+I273+J273+K273+N273+P273</f>
        <v>4829.8</v>
      </c>
      <c r="S273" s="21">
        <f>L273+M273+O273</f>
        <v>3098</v>
      </c>
      <c r="T273" s="21">
        <f>F273-R273</f>
        <v>15170.2</v>
      </c>
      <c r="U273" s="24" t="s">
        <v>30</v>
      </c>
    </row>
    <row r="274" spans="1:21" ht="15.75" customHeight="1">
      <c r="A274" s="19">
        <v>259</v>
      </c>
      <c r="B274" s="23" t="s">
        <v>155</v>
      </c>
      <c r="C274" s="23" t="s">
        <v>63</v>
      </c>
      <c r="D274" s="23" t="s">
        <v>98</v>
      </c>
      <c r="E274" s="24" t="s">
        <v>29</v>
      </c>
      <c r="F274" s="21">
        <v>25000</v>
      </c>
      <c r="G274" s="22">
        <v>0</v>
      </c>
      <c r="H274" s="22">
        <v>25</v>
      </c>
      <c r="I274" s="22">
        <v>0</v>
      </c>
      <c r="J274" s="22">
        <v>0</v>
      </c>
      <c r="K274" s="22">
        <f>F274*2.87%</f>
        <v>717.5</v>
      </c>
      <c r="L274" s="22">
        <f>F274*7.1%</f>
        <v>1774.9999999999998</v>
      </c>
      <c r="M274" s="22">
        <v>325</v>
      </c>
      <c r="N274" s="22">
        <v>760</v>
      </c>
      <c r="O274" s="22">
        <v>1772.5000000000002</v>
      </c>
      <c r="P274" s="22">
        <v>0</v>
      </c>
      <c r="Q274" s="21">
        <f>K274+N274</f>
        <v>1477.5</v>
      </c>
      <c r="R274" s="21">
        <f>G274+H274+I274+J274+K274+N274+P274</f>
        <v>1502.5</v>
      </c>
      <c r="S274" s="21">
        <f>L274+M274+O274</f>
        <v>3872.5</v>
      </c>
      <c r="T274" s="21">
        <f>F274-R274</f>
        <v>23497.5</v>
      </c>
      <c r="U274" s="24" t="s">
        <v>30</v>
      </c>
    </row>
    <row r="275" spans="1:21" ht="15.75" customHeight="1">
      <c r="A275" s="23">
        <v>260</v>
      </c>
      <c r="B275" s="23" t="s">
        <v>353</v>
      </c>
      <c r="C275" s="23" t="s">
        <v>57</v>
      </c>
      <c r="D275" s="23" t="s">
        <v>72</v>
      </c>
      <c r="E275" s="24" t="s">
        <v>29</v>
      </c>
      <c r="F275" s="21">
        <v>15000</v>
      </c>
      <c r="G275" s="22">
        <v>0</v>
      </c>
      <c r="H275" s="22">
        <v>25</v>
      </c>
      <c r="I275" s="22">
        <v>0</v>
      </c>
      <c r="J275" s="22">
        <f>1000+300</f>
        <v>1300</v>
      </c>
      <c r="K275" s="22">
        <f>F275*2.87%</f>
        <v>430.5</v>
      </c>
      <c r="L275" s="22">
        <f>F275*7.1%</f>
        <v>1065</v>
      </c>
      <c r="M275" s="22">
        <v>195</v>
      </c>
      <c r="N275" s="22">
        <v>456</v>
      </c>
      <c r="O275" s="22">
        <v>1063.5</v>
      </c>
      <c r="P275" s="22">
        <v>0</v>
      </c>
      <c r="Q275" s="21">
        <f>K275+N275</f>
        <v>886.5</v>
      </c>
      <c r="R275" s="21">
        <f>G275+H275+I275+J275+K275+N275+P275</f>
        <v>2211.5</v>
      </c>
      <c r="S275" s="21">
        <f>L275+M275+O275</f>
        <v>2323.5</v>
      </c>
      <c r="T275" s="21">
        <f>F275-R275</f>
        <v>12788.5</v>
      </c>
      <c r="U275" s="24" t="s">
        <v>36</v>
      </c>
    </row>
    <row r="276" spans="1:21" ht="15.75" customHeight="1">
      <c r="A276" s="23">
        <v>261</v>
      </c>
      <c r="B276" s="23" t="s">
        <v>354</v>
      </c>
      <c r="C276" s="23" t="s">
        <v>63</v>
      </c>
      <c r="D276" s="23" t="s">
        <v>98</v>
      </c>
      <c r="E276" s="24" t="s">
        <v>29</v>
      </c>
      <c r="F276" s="21">
        <v>25000</v>
      </c>
      <c r="G276" s="22">
        <v>0</v>
      </c>
      <c r="H276" s="22">
        <v>25</v>
      </c>
      <c r="I276" s="22">
        <v>0</v>
      </c>
      <c r="J276" s="22">
        <f>1000+300+1711.74</f>
        <v>3011.74</v>
      </c>
      <c r="K276" s="22">
        <f>F276*2.87%</f>
        <v>717.5</v>
      </c>
      <c r="L276" s="22">
        <f>F276*7.1%</f>
        <v>1774.9999999999998</v>
      </c>
      <c r="M276" s="22">
        <v>325</v>
      </c>
      <c r="N276" s="22">
        <v>760</v>
      </c>
      <c r="O276" s="22">
        <v>1772.5000000000002</v>
      </c>
      <c r="P276" s="22">
        <v>1587.38</v>
      </c>
      <c r="Q276" s="21">
        <f>K276+N276</f>
        <v>1477.5</v>
      </c>
      <c r="R276" s="21">
        <f>G276+H276+I276+J276+K276+N276+P276</f>
        <v>6101.62</v>
      </c>
      <c r="S276" s="21">
        <f>L276+M276+O276</f>
        <v>3872.5</v>
      </c>
      <c r="T276" s="21">
        <f>F276-R276</f>
        <v>18898.38</v>
      </c>
      <c r="U276" s="24" t="s">
        <v>30</v>
      </c>
    </row>
    <row r="277" spans="1:21" ht="15.75" customHeight="1">
      <c r="A277" s="19">
        <v>262</v>
      </c>
      <c r="B277" s="23" t="s">
        <v>355</v>
      </c>
      <c r="C277" s="23" t="s">
        <v>60</v>
      </c>
      <c r="D277" s="23" t="s">
        <v>72</v>
      </c>
      <c r="E277" s="24" t="s">
        <v>29</v>
      </c>
      <c r="F277" s="21">
        <v>25000</v>
      </c>
      <c r="G277" s="22">
        <v>0</v>
      </c>
      <c r="H277" s="22">
        <v>25</v>
      </c>
      <c r="I277" s="22">
        <v>0</v>
      </c>
      <c r="J277" s="22">
        <v>0</v>
      </c>
      <c r="K277" s="22">
        <f>F277*2.87%</f>
        <v>717.5</v>
      </c>
      <c r="L277" s="22">
        <f>F277*7.1%</f>
        <v>1774.9999999999998</v>
      </c>
      <c r="M277" s="22">
        <v>325</v>
      </c>
      <c r="N277" s="22">
        <v>760</v>
      </c>
      <c r="O277" s="22">
        <v>1772.5000000000002</v>
      </c>
      <c r="P277" s="22">
        <v>0</v>
      </c>
      <c r="Q277" s="21">
        <f>K277+N277</f>
        <v>1477.5</v>
      </c>
      <c r="R277" s="21">
        <f>G277+H277+I277+J277+K277+N277+P277</f>
        <v>1502.5</v>
      </c>
      <c r="S277" s="21">
        <f>L277+M277+O277</f>
        <v>3872.5</v>
      </c>
      <c r="T277" s="21">
        <f>F277-R277</f>
        <v>23497.5</v>
      </c>
      <c r="U277" s="24" t="s">
        <v>30</v>
      </c>
    </row>
    <row r="278" spans="1:21" ht="15.75" customHeight="1">
      <c r="A278" s="23">
        <v>263</v>
      </c>
      <c r="B278" s="23" t="s">
        <v>356</v>
      </c>
      <c r="C278" s="23" t="s">
        <v>161</v>
      </c>
      <c r="D278" s="23" t="s">
        <v>98</v>
      </c>
      <c r="E278" s="24" t="s">
        <v>29</v>
      </c>
      <c r="F278" s="21">
        <v>20000</v>
      </c>
      <c r="G278" s="22">
        <v>0</v>
      </c>
      <c r="H278" s="22">
        <v>25</v>
      </c>
      <c r="I278" s="22">
        <v>0</v>
      </c>
      <c r="J278" s="22">
        <v>0</v>
      </c>
      <c r="K278" s="22">
        <f>F278*2.87%</f>
        <v>574</v>
      </c>
      <c r="L278" s="22">
        <f>F278*7.1%</f>
        <v>1419.9999999999998</v>
      </c>
      <c r="M278" s="22">
        <v>260</v>
      </c>
      <c r="N278" s="22">
        <v>608</v>
      </c>
      <c r="O278" s="22">
        <v>1418</v>
      </c>
      <c r="P278" s="22">
        <v>0</v>
      </c>
      <c r="Q278" s="21">
        <f>K278+N278</f>
        <v>1182</v>
      </c>
      <c r="R278" s="21">
        <f>G278+H278+I278+J278+K278+N278+P278</f>
        <v>1207</v>
      </c>
      <c r="S278" s="21">
        <f>L278+M278+O278</f>
        <v>3098</v>
      </c>
      <c r="T278" s="21">
        <f>F278-R278</f>
        <v>18793</v>
      </c>
      <c r="U278" s="24" t="s">
        <v>30</v>
      </c>
    </row>
    <row r="279" spans="1:21" ht="15.75" customHeight="1">
      <c r="A279" s="23">
        <v>264</v>
      </c>
      <c r="B279" s="23" t="s">
        <v>357</v>
      </c>
      <c r="C279" s="23" t="s">
        <v>358</v>
      </c>
      <c r="D279" s="23" t="s">
        <v>78</v>
      </c>
      <c r="E279" s="24" t="s">
        <v>29</v>
      </c>
      <c r="F279" s="21">
        <v>10000</v>
      </c>
      <c r="G279" s="22">
        <v>0</v>
      </c>
      <c r="H279" s="22">
        <v>25</v>
      </c>
      <c r="I279" s="22">
        <v>0</v>
      </c>
      <c r="J279" s="22">
        <v>0</v>
      </c>
      <c r="K279" s="22">
        <f>F279*2.87%</f>
        <v>287</v>
      </c>
      <c r="L279" s="22">
        <f>F279*7.1%</f>
        <v>709.99999999999989</v>
      </c>
      <c r="M279" s="22">
        <v>130</v>
      </c>
      <c r="N279" s="22">
        <v>304</v>
      </c>
      <c r="O279" s="22">
        <v>709</v>
      </c>
      <c r="P279" s="22">
        <v>0</v>
      </c>
      <c r="Q279" s="21">
        <f>K279+N279</f>
        <v>591</v>
      </c>
      <c r="R279" s="21">
        <f>G279+H279+I279+J279+K279+N279+P279</f>
        <v>616</v>
      </c>
      <c r="S279" s="21">
        <f>L279+M279+O279</f>
        <v>1549</v>
      </c>
      <c r="T279" s="21">
        <f>F279-R279</f>
        <v>9384</v>
      </c>
      <c r="U279" s="24" t="s">
        <v>30</v>
      </c>
    </row>
    <row r="280" spans="1:21" ht="15.75" customHeight="1">
      <c r="A280" s="19">
        <v>265</v>
      </c>
      <c r="B280" s="23" t="s">
        <v>359</v>
      </c>
      <c r="C280" s="23" t="s">
        <v>201</v>
      </c>
      <c r="D280" s="23" t="s">
        <v>72</v>
      </c>
      <c r="E280" s="24" t="s">
        <v>29</v>
      </c>
      <c r="F280" s="21">
        <v>25000</v>
      </c>
      <c r="G280" s="22">
        <v>0</v>
      </c>
      <c r="H280" s="22">
        <v>25</v>
      </c>
      <c r="I280" s="22">
        <v>0</v>
      </c>
      <c r="J280" s="22">
        <f>2000+1000+1085.28</f>
        <v>4085.2799999999997</v>
      </c>
      <c r="K280" s="22">
        <f>F280*2.87%</f>
        <v>717.5</v>
      </c>
      <c r="L280" s="22">
        <f>F280*7.1%</f>
        <v>1774.9999999999998</v>
      </c>
      <c r="M280" s="22">
        <v>325</v>
      </c>
      <c r="N280" s="22">
        <v>760</v>
      </c>
      <c r="O280" s="22">
        <v>1772.5000000000002</v>
      </c>
      <c r="P280" s="22">
        <v>0</v>
      </c>
      <c r="Q280" s="21">
        <f>K280+N280</f>
        <v>1477.5</v>
      </c>
      <c r="R280" s="21">
        <f>G280+H280+I280+J280+K280+N280+P280</f>
        <v>5587.78</v>
      </c>
      <c r="S280" s="21">
        <f>L280+M280+O280</f>
        <v>3872.5</v>
      </c>
      <c r="T280" s="21">
        <f>F280-R280</f>
        <v>19412.22</v>
      </c>
      <c r="U280" s="24" t="s">
        <v>30</v>
      </c>
    </row>
    <row r="281" spans="1:21" ht="15.75" customHeight="1">
      <c r="A281" s="23">
        <v>266</v>
      </c>
      <c r="B281" s="23" t="s">
        <v>360</v>
      </c>
      <c r="C281" s="23" t="s">
        <v>63</v>
      </c>
      <c r="D281" s="23" t="s">
        <v>98</v>
      </c>
      <c r="E281" s="24" t="s">
        <v>29</v>
      </c>
      <c r="F281" s="21">
        <v>20000</v>
      </c>
      <c r="G281" s="22">
        <v>0</v>
      </c>
      <c r="H281" s="22">
        <v>25</v>
      </c>
      <c r="I281" s="22">
        <v>0</v>
      </c>
      <c r="J281" s="22">
        <f>700+300+6217.99+1780.9</f>
        <v>8998.89</v>
      </c>
      <c r="K281" s="22">
        <f>F281*2.87%</f>
        <v>574</v>
      </c>
      <c r="L281" s="22">
        <f>F281*7.1%</f>
        <v>1419.9999999999998</v>
      </c>
      <c r="M281" s="22">
        <v>260</v>
      </c>
      <c r="N281" s="22">
        <v>608</v>
      </c>
      <c r="O281" s="22">
        <v>1418</v>
      </c>
      <c r="P281" s="22">
        <v>0</v>
      </c>
      <c r="Q281" s="21">
        <f>K281+N281</f>
        <v>1182</v>
      </c>
      <c r="R281" s="21">
        <f>G281+H281+I281+J281+K281+N281+P281</f>
        <v>10205.89</v>
      </c>
      <c r="S281" s="21">
        <f>L281+M281+O281</f>
        <v>3098</v>
      </c>
      <c r="T281" s="21">
        <f>F281-R281</f>
        <v>9794.11</v>
      </c>
      <c r="U281" s="24" t="s">
        <v>30</v>
      </c>
    </row>
    <row r="282" spans="1:21" ht="15.75" customHeight="1">
      <c r="A282" s="23">
        <v>267</v>
      </c>
      <c r="B282" s="23" t="s">
        <v>361</v>
      </c>
      <c r="C282" s="23" t="s">
        <v>57</v>
      </c>
      <c r="D282" s="23" t="s">
        <v>58</v>
      </c>
      <c r="E282" s="24" t="s">
        <v>29</v>
      </c>
      <c r="F282" s="21">
        <v>10000</v>
      </c>
      <c r="G282" s="22">
        <v>0</v>
      </c>
      <c r="H282" s="22">
        <v>25</v>
      </c>
      <c r="I282" s="22">
        <v>0</v>
      </c>
      <c r="J282" s="22">
        <v>0</v>
      </c>
      <c r="K282" s="22">
        <f>F282*2.87%</f>
        <v>287</v>
      </c>
      <c r="L282" s="22">
        <f>F282*7.1%</f>
        <v>709.99999999999989</v>
      </c>
      <c r="M282" s="22">
        <v>130</v>
      </c>
      <c r="N282" s="22">
        <v>304</v>
      </c>
      <c r="O282" s="22">
        <v>709</v>
      </c>
      <c r="P282" s="22">
        <v>0</v>
      </c>
      <c r="Q282" s="21">
        <f>K282+N282</f>
        <v>591</v>
      </c>
      <c r="R282" s="21">
        <f>G282+H282+I282+J282+K282+N282+P282</f>
        <v>616</v>
      </c>
      <c r="S282" s="21">
        <f>L282+M282+O282</f>
        <v>1549</v>
      </c>
      <c r="T282" s="21">
        <f>F282-R282</f>
        <v>9384</v>
      </c>
      <c r="U282" s="24" t="s">
        <v>30</v>
      </c>
    </row>
    <row r="283" spans="1:21" ht="15.75" customHeight="1">
      <c r="A283" s="19">
        <v>268</v>
      </c>
      <c r="B283" s="23" t="s">
        <v>362</v>
      </c>
      <c r="C283" s="23" t="s">
        <v>201</v>
      </c>
      <c r="D283" s="23" t="s">
        <v>72</v>
      </c>
      <c r="E283" s="24" t="s">
        <v>29</v>
      </c>
      <c r="F283" s="21">
        <v>20000</v>
      </c>
      <c r="G283" s="22">
        <v>0</v>
      </c>
      <c r="H283" s="22">
        <v>25</v>
      </c>
      <c r="I283" s="22">
        <v>0</v>
      </c>
      <c r="J283" s="22">
        <f>700+1000+2388.41</f>
        <v>4088.41</v>
      </c>
      <c r="K283" s="22">
        <f>F283*2.87%</f>
        <v>574</v>
      </c>
      <c r="L283" s="22">
        <f>F283*7.1%</f>
        <v>1419.9999999999998</v>
      </c>
      <c r="M283" s="22">
        <v>260</v>
      </c>
      <c r="N283" s="22">
        <v>608</v>
      </c>
      <c r="O283" s="22">
        <v>1418</v>
      </c>
      <c r="P283" s="22">
        <v>0</v>
      </c>
      <c r="Q283" s="21">
        <f>K283+N283</f>
        <v>1182</v>
      </c>
      <c r="R283" s="21">
        <f>G283+H283+I283+J283+K283+N283+P283</f>
        <v>5295.41</v>
      </c>
      <c r="S283" s="21">
        <f>L283+M283+O283</f>
        <v>3098</v>
      </c>
      <c r="T283" s="21">
        <f>F283-R283</f>
        <v>14704.59</v>
      </c>
      <c r="U283" s="24" t="s">
        <v>30</v>
      </c>
    </row>
    <row r="284" spans="1:21" ht="15.75" customHeight="1">
      <c r="A284" s="23">
        <v>269</v>
      </c>
      <c r="B284" s="23" t="s">
        <v>363</v>
      </c>
      <c r="C284" s="23" t="s">
        <v>88</v>
      </c>
      <c r="D284" s="23" t="s">
        <v>58</v>
      </c>
      <c r="E284" s="24" t="s">
        <v>29</v>
      </c>
      <c r="F284" s="21">
        <v>15000</v>
      </c>
      <c r="G284" s="22">
        <v>0</v>
      </c>
      <c r="H284" s="22">
        <v>25</v>
      </c>
      <c r="I284" s="22">
        <v>0</v>
      </c>
      <c r="J284" s="22">
        <f>700+300+2162.12</f>
        <v>3162.12</v>
      </c>
      <c r="K284" s="22">
        <f>F284*2.87%</f>
        <v>430.5</v>
      </c>
      <c r="L284" s="22">
        <f>F284*7.1%</f>
        <v>1065</v>
      </c>
      <c r="M284" s="22">
        <v>195</v>
      </c>
      <c r="N284" s="22">
        <v>456</v>
      </c>
      <c r="O284" s="22">
        <v>1063.5</v>
      </c>
      <c r="P284" s="22">
        <v>0</v>
      </c>
      <c r="Q284" s="21">
        <f>K284+N284</f>
        <v>886.5</v>
      </c>
      <c r="R284" s="21">
        <f>G284+H284+I284+J284+K284+N284+P284</f>
        <v>4073.62</v>
      </c>
      <c r="S284" s="21">
        <f>L284+M284+O284</f>
        <v>2323.5</v>
      </c>
      <c r="T284" s="21">
        <f>F284-R284</f>
        <v>10926.380000000001</v>
      </c>
      <c r="U284" s="24" t="s">
        <v>30</v>
      </c>
    </row>
    <row r="285" spans="1:21" ht="15.75" customHeight="1">
      <c r="A285" s="23">
        <v>270</v>
      </c>
      <c r="B285" s="23" t="s">
        <v>364</v>
      </c>
      <c r="C285" s="23" t="s">
        <v>201</v>
      </c>
      <c r="D285" s="23" t="s">
        <v>72</v>
      </c>
      <c r="E285" s="24" t="s">
        <v>29</v>
      </c>
      <c r="F285" s="21">
        <v>25000</v>
      </c>
      <c r="G285" s="22">
        <v>0</v>
      </c>
      <c r="H285" s="22">
        <v>25</v>
      </c>
      <c r="I285" s="22">
        <v>0</v>
      </c>
      <c r="J285" s="22">
        <v>0</v>
      </c>
      <c r="K285" s="22">
        <f>F285*2.87%</f>
        <v>717.5</v>
      </c>
      <c r="L285" s="22">
        <f>F285*7.1%</f>
        <v>1774.9999999999998</v>
      </c>
      <c r="M285" s="22">
        <v>325</v>
      </c>
      <c r="N285" s="22">
        <v>760</v>
      </c>
      <c r="O285" s="22">
        <v>1772.5000000000002</v>
      </c>
      <c r="P285" s="22">
        <v>0</v>
      </c>
      <c r="Q285" s="21">
        <f>K285+N285</f>
        <v>1477.5</v>
      </c>
      <c r="R285" s="21">
        <f>G285+H285+I285+J285+K285+N285+P285</f>
        <v>1502.5</v>
      </c>
      <c r="S285" s="21">
        <f>L285+M285+O285</f>
        <v>3872.5</v>
      </c>
      <c r="T285" s="21">
        <f>F285-R285</f>
        <v>23497.5</v>
      </c>
      <c r="U285" s="24" t="s">
        <v>30</v>
      </c>
    </row>
    <row r="286" spans="1:21" ht="15.75" customHeight="1">
      <c r="A286" s="19">
        <v>271</v>
      </c>
      <c r="B286" s="23" t="s">
        <v>365</v>
      </c>
      <c r="C286" s="23" t="s">
        <v>88</v>
      </c>
      <c r="D286" s="23" t="s">
        <v>61</v>
      </c>
      <c r="E286" s="24" t="s">
        <v>29</v>
      </c>
      <c r="F286" s="21">
        <v>15000</v>
      </c>
      <c r="G286" s="22">
        <v>0</v>
      </c>
      <c r="H286" s="22">
        <v>25</v>
      </c>
      <c r="I286" s="22">
        <v>0</v>
      </c>
      <c r="J286" s="22">
        <v>0</v>
      </c>
      <c r="K286" s="22">
        <f>F286*2.87%</f>
        <v>430.5</v>
      </c>
      <c r="L286" s="22">
        <f>F286*7.1%</f>
        <v>1065</v>
      </c>
      <c r="M286" s="22">
        <v>195</v>
      </c>
      <c r="N286" s="22">
        <v>456</v>
      </c>
      <c r="O286" s="22">
        <v>1063.5</v>
      </c>
      <c r="P286" s="22">
        <v>0</v>
      </c>
      <c r="Q286" s="21">
        <f>K286+N286</f>
        <v>886.5</v>
      </c>
      <c r="R286" s="21">
        <f>G286+H286+I286+J286+K286+N286+P286</f>
        <v>911.5</v>
      </c>
      <c r="S286" s="21">
        <f>L286+M286+O286</f>
        <v>2323.5</v>
      </c>
      <c r="T286" s="21">
        <f>F286-R286</f>
        <v>14088.5</v>
      </c>
      <c r="U286" s="24" t="s">
        <v>30</v>
      </c>
    </row>
    <row r="287" spans="1:21" ht="15.75" customHeight="1">
      <c r="A287" s="23">
        <v>272</v>
      </c>
      <c r="B287" s="23" t="s">
        <v>366</v>
      </c>
      <c r="C287" s="23" t="s">
        <v>77</v>
      </c>
      <c r="D287" s="23" t="s">
        <v>61</v>
      </c>
      <c r="E287" s="24" t="s">
        <v>29</v>
      </c>
      <c r="F287" s="21">
        <v>15000</v>
      </c>
      <c r="G287" s="22">
        <v>0</v>
      </c>
      <c r="H287" s="22">
        <v>25</v>
      </c>
      <c r="I287" s="22">
        <v>0</v>
      </c>
      <c r="J287" s="22">
        <v>0</v>
      </c>
      <c r="K287" s="22">
        <f>F287*2.87%</f>
        <v>430.5</v>
      </c>
      <c r="L287" s="22">
        <f>F287*7.1%</f>
        <v>1065</v>
      </c>
      <c r="M287" s="22">
        <v>195</v>
      </c>
      <c r="N287" s="22">
        <v>456</v>
      </c>
      <c r="O287" s="22">
        <v>1063.5</v>
      </c>
      <c r="P287" s="22">
        <v>0</v>
      </c>
      <c r="Q287" s="21">
        <f>K287+N287</f>
        <v>886.5</v>
      </c>
      <c r="R287" s="21">
        <f>G287+H287+I287+J287+K287+N287+P287</f>
        <v>911.5</v>
      </c>
      <c r="S287" s="21">
        <f>L287+M287+O287</f>
        <v>2323.5</v>
      </c>
      <c r="T287" s="21">
        <f>F287-R287</f>
        <v>14088.5</v>
      </c>
      <c r="U287" s="24" t="s">
        <v>30</v>
      </c>
    </row>
    <row r="288" spans="1:21" ht="15.75" customHeight="1">
      <c r="A288" s="23">
        <v>273</v>
      </c>
      <c r="B288" s="23" t="s">
        <v>367</v>
      </c>
      <c r="C288" s="23" t="s">
        <v>368</v>
      </c>
      <c r="D288" s="23" t="s">
        <v>58</v>
      </c>
      <c r="E288" s="24" t="s">
        <v>29</v>
      </c>
      <c r="F288" s="21">
        <v>16500</v>
      </c>
      <c r="G288" s="22">
        <v>0</v>
      </c>
      <c r="H288" s="22">
        <v>25</v>
      </c>
      <c r="I288" s="22">
        <v>0</v>
      </c>
      <c r="J288" s="22">
        <v>0</v>
      </c>
      <c r="K288" s="22">
        <f>F288*2.87%</f>
        <v>473.55</v>
      </c>
      <c r="L288" s="22">
        <f>F288*7.1%</f>
        <v>1171.5</v>
      </c>
      <c r="M288" s="22">
        <v>214.5</v>
      </c>
      <c r="N288" s="22">
        <v>501.6</v>
      </c>
      <c r="O288" s="22">
        <v>1169.8500000000001</v>
      </c>
      <c r="P288" s="22">
        <v>1587.38</v>
      </c>
      <c r="Q288" s="21">
        <f>K288+N288</f>
        <v>975.15000000000009</v>
      </c>
      <c r="R288" s="21">
        <f>G288+H288+I288+J288+K288+N288+P288</f>
        <v>2587.5300000000002</v>
      </c>
      <c r="S288" s="21">
        <f>L288+M288+O288</f>
        <v>2555.8500000000004</v>
      </c>
      <c r="T288" s="21">
        <f>F288-R288</f>
        <v>13912.47</v>
      </c>
      <c r="U288" s="24" t="s">
        <v>30</v>
      </c>
    </row>
    <row r="289" spans="1:21" ht="15.75" customHeight="1">
      <c r="A289" s="19">
        <v>274</v>
      </c>
      <c r="B289" s="23" t="s">
        <v>369</v>
      </c>
      <c r="C289" s="23" t="s">
        <v>88</v>
      </c>
      <c r="D289" s="23" t="s">
        <v>58</v>
      </c>
      <c r="E289" s="24" t="s">
        <v>29</v>
      </c>
      <c r="F289" s="21">
        <v>12000</v>
      </c>
      <c r="G289" s="22">
        <v>0</v>
      </c>
      <c r="H289" s="22">
        <v>25</v>
      </c>
      <c r="I289" s="22">
        <v>0</v>
      </c>
      <c r="J289" s="22">
        <v>0</v>
      </c>
      <c r="K289" s="22">
        <f>F289*2.87%</f>
        <v>344.4</v>
      </c>
      <c r="L289" s="22">
        <f>F289*7.1%</f>
        <v>851.99999999999989</v>
      </c>
      <c r="M289" s="22">
        <v>156</v>
      </c>
      <c r="N289" s="22">
        <v>364.8</v>
      </c>
      <c r="O289" s="22">
        <v>850.80000000000007</v>
      </c>
      <c r="P289" s="22">
        <v>0</v>
      </c>
      <c r="Q289" s="21">
        <f>K289+N289</f>
        <v>709.2</v>
      </c>
      <c r="R289" s="21">
        <f>G289+H289+I289+J289+K289+N289+P289</f>
        <v>734.2</v>
      </c>
      <c r="S289" s="21">
        <f>L289+M289+O289</f>
        <v>1858.8</v>
      </c>
      <c r="T289" s="21">
        <f>F289-R289</f>
        <v>11265.8</v>
      </c>
      <c r="U289" s="24" t="s">
        <v>30</v>
      </c>
    </row>
    <row r="290" spans="1:21" ht="15.75" customHeight="1">
      <c r="A290" s="23">
        <v>275</v>
      </c>
      <c r="B290" s="23" t="s">
        <v>370</v>
      </c>
      <c r="C290" s="23" t="s">
        <v>77</v>
      </c>
      <c r="D290" s="23" t="s">
        <v>78</v>
      </c>
      <c r="E290" s="24" t="s">
        <v>29</v>
      </c>
      <c r="F290" s="21">
        <v>11000</v>
      </c>
      <c r="G290" s="22">
        <v>0</v>
      </c>
      <c r="H290" s="22">
        <v>25</v>
      </c>
      <c r="I290" s="22">
        <v>0</v>
      </c>
      <c r="J290" s="22">
        <v>0</v>
      </c>
      <c r="K290" s="22">
        <f>F290*2.87%</f>
        <v>315.7</v>
      </c>
      <c r="L290" s="22">
        <f>F290*7.1%</f>
        <v>780.99999999999989</v>
      </c>
      <c r="M290" s="22">
        <v>143</v>
      </c>
      <c r="N290" s="22">
        <v>334.4</v>
      </c>
      <c r="O290" s="22">
        <v>779.90000000000009</v>
      </c>
      <c r="P290" s="22">
        <v>0</v>
      </c>
      <c r="Q290" s="21">
        <f>K290+N290</f>
        <v>650.09999999999991</v>
      </c>
      <c r="R290" s="21">
        <f>G290+H290+I290+J290+K290+N290+P290</f>
        <v>675.09999999999991</v>
      </c>
      <c r="S290" s="21">
        <f>L290+M290+O290</f>
        <v>1703.9</v>
      </c>
      <c r="T290" s="21">
        <f>F290-R290</f>
        <v>10324.9</v>
      </c>
      <c r="U290" s="24" t="s">
        <v>30</v>
      </c>
    </row>
    <row r="291" spans="1:21" ht="15.75" customHeight="1">
      <c r="A291" s="23">
        <v>276</v>
      </c>
      <c r="B291" s="23" t="s">
        <v>371</v>
      </c>
      <c r="C291" s="23" t="s">
        <v>77</v>
      </c>
      <c r="D291" s="23" t="s">
        <v>61</v>
      </c>
      <c r="E291" s="24" t="s">
        <v>29</v>
      </c>
      <c r="F291" s="21">
        <v>15000</v>
      </c>
      <c r="G291" s="22">
        <v>0</v>
      </c>
      <c r="H291" s="22">
        <v>25</v>
      </c>
      <c r="I291" s="22">
        <v>0</v>
      </c>
      <c r="J291" s="22">
        <v>0</v>
      </c>
      <c r="K291" s="22">
        <f>F291*2.87%</f>
        <v>430.5</v>
      </c>
      <c r="L291" s="22">
        <f>F291*7.1%</f>
        <v>1065</v>
      </c>
      <c r="M291" s="22">
        <v>195</v>
      </c>
      <c r="N291" s="22">
        <v>456</v>
      </c>
      <c r="O291" s="22">
        <v>1063.5</v>
      </c>
      <c r="P291" s="21">
        <v>0</v>
      </c>
      <c r="Q291" s="21">
        <f>K291+N291</f>
        <v>886.5</v>
      </c>
      <c r="R291" s="21">
        <f>G291+H291+I291+J291+K291+N291+P291</f>
        <v>911.5</v>
      </c>
      <c r="S291" s="21">
        <f>L291+M291+O291</f>
        <v>2323.5</v>
      </c>
      <c r="T291" s="21">
        <f>F291-R291</f>
        <v>14088.5</v>
      </c>
      <c r="U291" s="24" t="s">
        <v>30</v>
      </c>
    </row>
    <row r="292" spans="1:21" ht="15.75" customHeight="1">
      <c r="A292" s="19">
        <v>277</v>
      </c>
      <c r="B292" s="23" t="s">
        <v>372</v>
      </c>
      <c r="C292" s="23" t="s">
        <v>77</v>
      </c>
      <c r="D292" s="23" t="s">
        <v>78</v>
      </c>
      <c r="E292" s="24" t="s">
        <v>29</v>
      </c>
      <c r="F292" s="21">
        <v>11000</v>
      </c>
      <c r="G292" s="22">
        <v>0</v>
      </c>
      <c r="H292" s="22">
        <v>25</v>
      </c>
      <c r="I292" s="22">
        <v>0</v>
      </c>
      <c r="J292" s="22">
        <v>0</v>
      </c>
      <c r="K292" s="22">
        <f>F292*2.87%</f>
        <v>315.7</v>
      </c>
      <c r="L292" s="22">
        <f>F292*7.1%</f>
        <v>780.99999999999989</v>
      </c>
      <c r="M292" s="22">
        <v>143</v>
      </c>
      <c r="N292" s="22">
        <v>334.4</v>
      </c>
      <c r="O292" s="22">
        <v>779.90000000000009</v>
      </c>
      <c r="P292" s="22">
        <v>0</v>
      </c>
      <c r="Q292" s="21">
        <f>K292+N292</f>
        <v>650.09999999999991</v>
      </c>
      <c r="R292" s="21">
        <f>G292+H292+I292+J292+K292+N292+P292</f>
        <v>675.09999999999991</v>
      </c>
      <c r="S292" s="21">
        <f>L292+M292+O292</f>
        <v>1703.9</v>
      </c>
      <c r="T292" s="21">
        <f>F292-R292</f>
        <v>10324.9</v>
      </c>
      <c r="U292" s="24" t="s">
        <v>30</v>
      </c>
    </row>
    <row r="293" spans="1:21" ht="15.75" customHeight="1">
      <c r="A293" s="23">
        <v>278</v>
      </c>
      <c r="B293" s="23" t="s">
        <v>373</v>
      </c>
      <c r="C293" s="23" t="s">
        <v>57</v>
      </c>
      <c r="D293" s="23" t="s">
        <v>58</v>
      </c>
      <c r="E293" s="24" t="s">
        <v>29</v>
      </c>
      <c r="F293" s="21">
        <v>10000</v>
      </c>
      <c r="G293" s="22">
        <v>0</v>
      </c>
      <c r="H293" s="22">
        <v>25</v>
      </c>
      <c r="I293" s="22">
        <v>0</v>
      </c>
      <c r="J293" s="22">
        <v>0</v>
      </c>
      <c r="K293" s="22">
        <f>F293*2.87%</f>
        <v>287</v>
      </c>
      <c r="L293" s="22">
        <f>F293*7.1%</f>
        <v>709.99999999999989</v>
      </c>
      <c r="M293" s="22">
        <v>130</v>
      </c>
      <c r="N293" s="22">
        <v>304</v>
      </c>
      <c r="O293" s="22">
        <v>709</v>
      </c>
      <c r="P293" s="22">
        <v>0</v>
      </c>
      <c r="Q293" s="21">
        <f>K293+N293</f>
        <v>591</v>
      </c>
      <c r="R293" s="21">
        <f>G293+H293+I293+J293+K293+N293+P293</f>
        <v>616</v>
      </c>
      <c r="S293" s="21">
        <f>L293+M293+O293</f>
        <v>1549</v>
      </c>
      <c r="T293" s="21">
        <f>F293-R293</f>
        <v>9384</v>
      </c>
      <c r="U293" s="24" t="s">
        <v>30</v>
      </c>
    </row>
    <row r="294" spans="1:21" ht="15.75" customHeight="1">
      <c r="A294" s="23">
        <v>279</v>
      </c>
      <c r="B294" s="23" t="s">
        <v>374</v>
      </c>
      <c r="C294" s="23" t="s">
        <v>66</v>
      </c>
      <c r="D294" s="23" t="s">
        <v>72</v>
      </c>
      <c r="E294" s="24" t="s">
        <v>29</v>
      </c>
      <c r="F294" s="21">
        <v>20000</v>
      </c>
      <c r="G294" s="22">
        <v>0</v>
      </c>
      <c r="H294" s="22">
        <v>25</v>
      </c>
      <c r="I294" s="22">
        <v>0</v>
      </c>
      <c r="J294" s="22">
        <v>0</v>
      </c>
      <c r="K294" s="22">
        <f>F294*2.87%</f>
        <v>574</v>
      </c>
      <c r="L294" s="22">
        <f>F294*7.1%</f>
        <v>1419.9999999999998</v>
      </c>
      <c r="M294" s="22">
        <v>260</v>
      </c>
      <c r="N294" s="22">
        <v>608</v>
      </c>
      <c r="O294" s="22">
        <v>1418</v>
      </c>
      <c r="P294" s="22">
        <v>0</v>
      </c>
      <c r="Q294" s="21">
        <f>K294+N294</f>
        <v>1182</v>
      </c>
      <c r="R294" s="21">
        <f>G294+H294+I294+J294+K294+N294+P294</f>
        <v>1207</v>
      </c>
      <c r="S294" s="21">
        <f>L294+M294+O294</f>
        <v>3098</v>
      </c>
      <c r="T294" s="21">
        <f>F294-R294</f>
        <v>18793</v>
      </c>
      <c r="U294" s="24" t="s">
        <v>30</v>
      </c>
    </row>
    <row r="295" spans="1:21" ht="15.75" customHeight="1">
      <c r="A295" s="19">
        <v>280</v>
      </c>
      <c r="B295" s="23" t="s">
        <v>375</v>
      </c>
      <c r="C295" s="23" t="s">
        <v>60</v>
      </c>
      <c r="D295" s="23" t="s">
        <v>61</v>
      </c>
      <c r="E295" s="24" t="s">
        <v>29</v>
      </c>
      <c r="F295" s="21">
        <v>18000</v>
      </c>
      <c r="G295" s="22">
        <v>0</v>
      </c>
      <c r="H295" s="22">
        <v>25</v>
      </c>
      <c r="I295" s="22">
        <v>0</v>
      </c>
      <c r="J295" s="22">
        <v>0</v>
      </c>
      <c r="K295" s="22">
        <f>F295*2.87%</f>
        <v>516.6</v>
      </c>
      <c r="L295" s="22">
        <f>F295*7.1%</f>
        <v>1277.9999999999998</v>
      </c>
      <c r="M295" s="22">
        <v>234</v>
      </c>
      <c r="N295" s="22">
        <v>547.20000000000005</v>
      </c>
      <c r="O295" s="22">
        <v>1276.2</v>
      </c>
      <c r="P295" s="22">
        <v>1587.38</v>
      </c>
      <c r="Q295" s="21">
        <f>K295+N295</f>
        <v>1063.8000000000002</v>
      </c>
      <c r="R295" s="21">
        <f>G295+H295+I295+J295+K295+N295+P295</f>
        <v>2676.1800000000003</v>
      </c>
      <c r="S295" s="21">
        <f>L295+M295+O295</f>
        <v>2788.2</v>
      </c>
      <c r="T295" s="21">
        <f>F295-R295</f>
        <v>15323.82</v>
      </c>
      <c r="U295" s="24" t="s">
        <v>30</v>
      </c>
    </row>
    <row r="296" spans="1:21" ht="15.75" customHeight="1">
      <c r="A296" s="23">
        <v>281</v>
      </c>
      <c r="B296" s="23" t="s">
        <v>376</v>
      </c>
      <c r="C296" s="23" t="s">
        <v>63</v>
      </c>
      <c r="D296" s="23" t="s">
        <v>98</v>
      </c>
      <c r="E296" s="24" t="s">
        <v>29</v>
      </c>
      <c r="F296" s="21">
        <v>25000</v>
      </c>
      <c r="G296" s="22">
        <v>0</v>
      </c>
      <c r="H296" s="22">
        <v>25</v>
      </c>
      <c r="I296" s="22">
        <v>0</v>
      </c>
      <c r="J296" s="22">
        <f>1700+300+1.45</f>
        <v>2001.45</v>
      </c>
      <c r="K296" s="22">
        <f>F296*2.87%</f>
        <v>717.5</v>
      </c>
      <c r="L296" s="22">
        <f>F296*7.1%</f>
        <v>1774.9999999999998</v>
      </c>
      <c r="M296" s="22">
        <v>325</v>
      </c>
      <c r="N296" s="22">
        <v>760</v>
      </c>
      <c r="O296" s="22">
        <v>1772.5000000000002</v>
      </c>
      <c r="P296" s="22">
        <v>0</v>
      </c>
      <c r="Q296" s="21">
        <f>K296+N296</f>
        <v>1477.5</v>
      </c>
      <c r="R296" s="21">
        <f>G296+H296+I296+J296+K296+N296+P296</f>
        <v>3503.95</v>
      </c>
      <c r="S296" s="21">
        <f>L296+M296+O296</f>
        <v>3872.5</v>
      </c>
      <c r="T296" s="21">
        <f>F296-R296</f>
        <v>21496.05</v>
      </c>
      <c r="U296" s="24" t="s">
        <v>30</v>
      </c>
    </row>
    <row r="297" spans="1:21" ht="15.75" customHeight="1">
      <c r="A297" s="23">
        <v>282</v>
      </c>
      <c r="B297" s="23" t="s">
        <v>377</v>
      </c>
      <c r="C297" s="23" t="s">
        <v>378</v>
      </c>
      <c r="D297" s="23" t="s">
        <v>41</v>
      </c>
      <c r="E297" s="24" t="s">
        <v>29</v>
      </c>
      <c r="F297" s="21">
        <v>22800.48</v>
      </c>
      <c r="G297" s="22">
        <v>0</v>
      </c>
      <c r="H297" s="22">
        <v>25</v>
      </c>
      <c r="I297" s="22">
        <v>0</v>
      </c>
      <c r="J297" s="22">
        <f>1000+2515.06</f>
        <v>3515.06</v>
      </c>
      <c r="K297" s="22">
        <f>F297*2.87%</f>
        <v>654.37377600000002</v>
      </c>
      <c r="L297" s="22">
        <f>F297*7.1%</f>
        <v>1618.8340799999999</v>
      </c>
      <c r="M297" s="22">
        <v>296.41000000000003</v>
      </c>
      <c r="N297" s="22">
        <v>693.134592</v>
      </c>
      <c r="O297" s="22">
        <v>1616.554032</v>
      </c>
      <c r="P297" s="22">
        <v>0</v>
      </c>
      <c r="Q297" s="21">
        <f>K297+N297</f>
        <v>1347.508368</v>
      </c>
      <c r="R297" s="21">
        <f>G297+H297+I297+J297+K297+N297+P297</f>
        <v>4887.5683680000002</v>
      </c>
      <c r="S297" s="21">
        <f>L297+M297+O297</f>
        <v>3531.7981119999999</v>
      </c>
      <c r="T297" s="21">
        <f>F297-R297</f>
        <v>17912.911631999999</v>
      </c>
      <c r="U297" s="24" t="s">
        <v>30</v>
      </c>
    </row>
    <row r="298" spans="1:21" ht="15.75" customHeight="1">
      <c r="A298" s="19">
        <v>283</v>
      </c>
      <c r="B298" s="23" t="s">
        <v>379</v>
      </c>
      <c r="C298" s="23" t="s">
        <v>77</v>
      </c>
      <c r="D298" s="23" t="s">
        <v>78</v>
      </c>
      <c r="E298" s="24" t="s">
        <v>29</v>
      </c>
      <c r="F298" s="21">
        <v>10000</v>
      </c>
      <c r="G298" s="22">
        <v>0</v>
      </c>
      <c r="H298" s="22">
        <v>25</v>
      </c>
      <c r="I298" s="22">
        <v>0</v>
      </c>
      <c r="J298" s="22">
        <v>0</v>
      </c>
      <c r="K298" s="22">
        <f>F298*2.87%</f>
        <v>287</v>
      </c>
      <c r="L298" s="22">
        <f>F298*7.1%</f>
        <v>709.99999999999989</v>
      </c>
      <c r="M298" s="22">
        <v>130</v>
      </c>
      <c r="N298" s="22">
        <v>304</v>
      </c>
      <c r="O298" s="22">
        <v>709</v>
      </c>
      <c r="P298" s="22">
        <v>0</v>
      </c>
      <c r="Q298" s="21">
        <f>K298+N298</f>
        <v>591</v>
      </c>
      <c r="R298" s="21">
        <f>G298+H298+I298+J298+K298+N298+P298</f>
        <v>616</v>
      </c>
      <c r="S298" s="21">
        <f>L298+M298+O298</f>
        <v>1549</v>
      </c>
      <c r="T298" s="21">
        <f>F298-R298</f>
        <v>9384</v>
      </c>
      <c r="U298" s="24" t="s">
        <v>30</v>
      </c>
    </row>
    <row r="299" spans="1:21" ht="15.75" customHeight="1">
      <c r="A299" s="23">
        <v>284</v>
      </c>
      <c r="B299" s="23" t="s">
        <v>380</v>
      </c>
      <c r="C299" s="23" t="s">
        <v>60</v>
      </c>
      <c r="D299" s="23" t="s">
        <v>61</v>
      </c>
      <c r="E299" s="24" t="s">
        <v>29</v>
      </c>
      <c r="F299" s="21">
        <v>30000</v>
      </c>
      <c r="G299" s="22">
        <v>0</v>
      </c>
      <c r="H299" s="22">
        <v>25</v>
      </c>
      <c r="I299" s="22">
        <v>0</v>
      </c>
      <c r="J299" s="22">
        <v>0</v>
      </c>
      <c r="K299" s="22">
        <f>F299*2.87%</f>
        <v>861</v>
      </c>
      <c r="L299" s="22">
        <f>F299*7.1%</f>
        <v>2130</v>
      </c>
      <c r="M299" s="22">
        <v>390</v>
      </c>
      <c r="N299" s="22">
        <v>912</v>
      </c>
      <c r="O299" s="22">
        <v>2127</v>
      </c>
      <c r="P299" s="22">
        <v>0</v>
      </c>
      <c r="Q299" s="21">
        <f>K299+N299</f>
        <v>1773</v>
      </c>
      <c r="R299" s="21">
        <f>G299+H299+I299+J299+K299+N299+P299</f>
        <v>1798</v>
      </c>
      <c r="S299" s="21">
        <f>L299+M299+O299</f>
        <v>4647</v>
      </c>
      <c r="T299" s="21">
        <f>F299-R299</f>
        <v>28202</v>
      </c>
      <c r="U299" s="24" t="s">
        <v>30</v>
      </c>
    </row>
    <row r="300" spans="1:21" ht="15.75" customHeight="1">
      <c r="A300" s="23">
        <v>285</v>
      </c>
      <c r="B300" s="23" t="s">
        <v>381</v>
      </c>
      <c r="C300" s="23" t="s">
        <v>63</v>
      </c>
      <c r="D300" s="23" t="s">
        <v>98</v>
      </c>
      <c r="E300" s="24" t="s">
        <v>29</v>
      </c>
      <c r="F300" s="21">
        <v>20000</v>
      </c>
      <c r="G300" s="22">
        <v>0</v>
      </c>
      <c r="H300" s="22">
        <v>25</v>
      </c>
      <c r="I300" s="22">
        <v>0</v>
      </c>
      <c r="J300" s="22">
        <f>1000+300+4575.57</f>
        <v>5875.57</v>
      </c>
      <c r="K300" s="22">
        <f>F300*2.87%</f>
        <v>574</v>
      </c>
      <c r="L300" s="22">
        <f>F300*7.1%</f>
        <v>1419.9999999999998</v>
      </c>
      <c r="M300" s="22">
        <v>260</v>
      </c>
      <c r="N300" s="22">
        <v>608</v>
      </c>
      <c r="O300" s="22">
        <v>1418</v>
      </c>
      <c r="P300" s="22">
        <v>0</v>
      </c>
      <c r="Q300" s="21">
        <f>K300+N300</f>
        <v>1182</v>
      </c>
      <c r="R300" s="21">
        <f>G300+H300+I300+J300+K300+N300+P300</f>
        <v>7082.57</v>
      </c>
      <c r="S300" s="21">
        <f>L300+M300+O300</f>
        <v>3098</v>
      </c>
      <c r="T300" s="21">
        <f>F300-R300</f>
        <v>12917.43</v>
      </c>
      <c r="U300" s="24" t="s">
        <v>30</v>
      </c>
    </row>
    <row r="301" spans="1:21" ht="15.75" customHeight="1">
      <c r="A301" s="19">
        <v>286</v>
      </c>
      <c r="B301" s="23" t="s">
        <v>382</v>
      </c>
      <c r="C301" s="23" t="s">
        <v>77</v>
      </c>
      <c r="D301" s="23" t="s">
        <v>61</v>
      </c>
      <c r="E301" s="24" t="s">
        <v>29</v>
      </c>
      <c r="F301" s="21">
        <v>10000</v>
      </c>
      <c r="G301" s="22">
        <v>0</v>
      </c>
      <c r="H301" s="22">
        <v>25</v>
      </c>
      <c r="I301" s="22">
        <v>0</v>
      </c>
      <c r="J301" s="22">
        <v>0</v>
      </c>
      <c r="K301" s="22">
        <f>F301*2.87%</f>
        <v>287</v>
      </c>
      <c r="L301" s="22">
        <f>F301*7.1%</f>
        <v>709.99999999999989</v>
      </c>
      <c r="M301" s="22">
        <v>130</v>
      </c>
      <c r="N301" s="22">
        <v>304</v>
      </c>
      <c r="O301" s="22">
        <v>709</v>
      </c>
      <c r="P301" s="22">
        <v>0</v>
      </c>
      <c r="Q301" s="21">
        <f>K301+N301</f>
        <v>591</v>
      </c>
      <c r="R301" s="21">
        <f>G301+H301+I301+J301+K301+N301+P301</f>
        <v>616</v>
      </c>
      <c r="S301" s="21">
        <f>L301+M301+O301</f>
        <v>1549</v>
      </c>
      <c r="T301" s="21">
        <f>F301-R301</f>
        <v>9384</v>
      </c>
      <c r="U301" s="24" t="s">
        <v>30</v>
      </c>
    </row>
    <row r="302" spans="1:21" ht="15.75" customHeight="1">
      <c r="A302" s="23">
        <v>287</v>
      </c>
      <c r="B302" s="23" t="s">
        <v>383</v>
      </c>
      <c r="C302" s="23" t="s">
        <v>66</v>
      </c>
      <c r="D302" s="23" t="s">
        <v>58</v>
      </c>
      <c r="E302" s="24" t="s">
        <v>29</v>
      </c>
      <c r="F302" s="21">
        <v>25000</v>
      </c>
      <c r="G302" s="22">
        <v>0</v>
      </c>
      <c r="H302" s="22">
        <v>25</v>
      </c>
      <c r="I302" s="22">
        <v>0</v>
      </c>
      <c r="J302" s="22">
        <f>1500+1000+2337.2</f>
        <v>4837.2</v>
      </c>
      <c r="K302" s="22">
        <f>F302*2.87%</f>
        <v>717.5</v>
      </c>
      <c r="L302" s="22">
        <f>F302*7.1%</f>
        <v>1774.9999999999998</v>
      </c>
      <c r="M302" s="22">
        <v>325</v>
      </c>
      <c r="N302" s="22">
        <v>760</v>
      </c>
      <c r="O302" s="22">
        <v>1772.5</v>
      </c>
      <c r="P302" s="22">
        <v>0</v>
      </c>
      <c r="Q302" s="21">
        <f>K302+N302</f>
        <v>1477.5</v>
      </c>
      <c r="R302" s="21">
        <f>G302+H302+I302+J302+K302+N302+P302</f>
        <v>6339.7</v>
      </c>
      <c r="S302" s="21">
        <f>L302+M302+O302</f>
        <v>3872.5</v>
      </c>
      <c r="T302" s="21">
        <f>F302-R302</f>
        <v>18660.3</v>
      </c>
      <c r="U302" s="24" t="s">
        <v>30</v>
      </c>
    </row>
    <row r="303" spans="1:21" ht="15.75" customHeight="1">
      <c r="A303" s="23">
        <v>288</v>
      </c>
      <c r="B303" s="23" t="s">
        <v>384</v>
      </c>
      <c r="C303" s="23" t="s">
        <v>201</v>
      </c>
      <c r="D303" s="23" t="s">
        <v>72</v>
      </c>
      <c r="E303" s="24" t="s">
        <v>29</v>
      </c>
      <c r="F303" s="21">
        <v>35000</v>
      </c>
      <c r="G303" s="22">
        <v>0</v>
      </c>
      <c r="H303" s="22">
        <v>25</v>
      </c>
      <c r="I303" s="22">
        <v>0</v>
      </c>
      <c r="J303" s="22">
        <v>0</v>
      </c>
      <c r="K303" s="22">
        <f>F303*2.87%</f>
        <v>1004.5</v>
      </c>
      <c r="L303" s="22">
        <f>F303*7.1%</f>
        <v>2485</v>
      </c>
      <c r="M303" s="22">
        <v>455</v>
      </c>
      <c r="N303" s="22">
        <v>1064</v>
      </c>
      <c r="O303" s="22">
        <v>2481.5</v>
      </c>
      <c r="P303" s="22">
        <v>0</v>
      </c>
      <c r="Q303" s="21">
        <f>K303+N303</f>
        <v>2068.5</v>
      </c>
      <c r="R303" s="21">
        <f>G303+H303+I303+J303+K303+N303+P303</f>
        <v>2093.5</v>
      </c>
      <c r="S303" s="21">
        <f>L303+M303+O303</f>
        <v>5421.5</v>
      </c>
      <c r="T303" s="21">
        <f>F303-R303</f>
        <v>32906.5</v>
      </c>
      <c r="U303" s="24" t="s">
        <v>30</v>
      </c>
    </row>
    <row r="304" spans="1:21" ht="15.75" customHeight="1">
      <c r="A304" s="19">
        <v>289</v>
      </c>
      <c r="B304" s="23" t="s">
        <v>386</v>
      </c>
      <c r="C304" s="23" t="s">
        <v>161</v>
      </c>
      <c r="D304" s="23" t="s">
        <v>98</v>
      </c>
      <c r="E304" s="24" t="s">
        <v>29</v>
      </c>
      <c r="F304" s="21">
        <v>25000</v>
      </c>
      <c r="G304" s="22">
        <v>0</v>
      </c>
      <c r="H304" s="22">
        <v>25</v>
      </c>
      <c r="I304" s="22">
        <v>0</v>
      </c>
      <c r="J304" s="22">
        <v>0</v>
      </c>
      <c r="K304" s="22">
        <f>F304*2.87%</f>
        <v>717.5</v>
      </c>
      <c r="L304" s="22">
        <f>F304*7.1%</f>
        <v>1774.9999999999998</v>
      </c>
      <c r="M304" s="22">
        <v>325</v>
      </c>
      <c r="N304" s="22">
        <v>760</v>
      </c>
      <c r="O304" s="22">
        <v>1772.5000000000002</v>
      </c>
      <c r="P304" s="22">
        <v>0</v>
      </c>
      <c r="Q304" s="21">
        <f>K304+N304</f>
        <v>1477.5</v>
      </c>
      <c r="R304" s="21">
        <f>G304+H304+I304+J304+K304+N304+P304</f>
        <v>1502.5</v>
      </c>
      <c r="S304" s="21">
        <f>L304+M304+O304</f>
        <v>3872.5</v>
      </c>
      <c r="T304" s="21">
        <f>F304-R304</f>
        <v>23497.5</v>
      </c>
      <c r="U304" s="24" t="s">
        <v>30</v>
      </c>
    </row>
    <row r="305" spans="1:21" ht="15.75" customHeight="1">
      <c r="A305" s="23">
        <v>290</v>
      </c>
      <c r="B305" s="23" t="s">
        <v>387</v>
      </c>
      <c r="C305" s="23" t="s">
        <v>68</v>
      </c>
      <c r="D305" s="23" t="s">
        <v>28</v>
      </c>
      <c r="E305" s="24" t="s">
        <v>29</v>
      </c>
      <c r="F305" s="21">
        <v>25000</v>
      </c>
      <c r="G305" s="22">
        <v>0</v>
      </c>
      <c r="H305" s="22">
        <v>25</v>
      </c>
      <c r="I305" s="22">
        <v>0</v>
      </c>
      <c r="J305" s="22">
        <v>0</v>
      </c>
      <c r="K305" s="22">
        <f>F305*2.87%</f>
        <v>717.5</v>
      </c>
      <c r="L305" s="22">
        <f>F305*7.1%</f>
        <v>1774.9999999999998</v>
      </c>
      <c r="M305" s="22">
        <v>325</v>
      </c>
      <c r="N305" s="22">
        <v>760</v>
      </c>
      <c r="O305" s="22">
        <v>1772.5000000000002</v>
      </c>
      <c r="P305" s="22">
        <v>0</v>
      </c>
      <c r="Q305" s="21">
        <f>K305+N305</f>
        <v>1477.5</v>
      </c>
      <c r="R305" s="21">
        <f>G305+H305+I305+J305+K305+N305+P305</f>
        <v>1502.5</v>
      </c>
      <c r="S305" s="21">
        <f>L305+M305+O305</f>
        <v>3872.5</v>
      </c>
      <c r="T305" s="21">
        <f>F305-R305</f>
        <v>23497.5</v>
      </c>
      <c r="U305" s="24" t="s">
        <v>30</v>
      </c>
    </row>
    <row r="306" spans="1:21" ht="15.75" customHeight="1">
      <c r="A306" s="23">
        <v>291</v>
      </c>
      <c r="B306" s="23" t="s">
        <v>388</v>
      </c>
      <c r="C306" s="23" t="s">
        <v>51</v>
      </c>
      <c r="D306" s="23" t="s">
        <v>52</v>
      </c>
      <c r="E306" s="24" t="s">
        <v>29</v>
      </c>
      <c r="F306" s="21">
        <v>10000</v>
      </c>
      <c r="G306" s="22">
        <v>0</v>
      </c>
      <c r="H306" s="22">
        <v>25</v>
      </c>
      <c r="I306" s="22">
        <v>0</v>
      </c>
      <c r="J306" s="22">
        <v>0</v>
      </c>
      <c r="K306" s="22">
        <f>F306*2.87%</f>
        <v>287</v>
      </c>
      <c r="L306" s="22">
        <f>F306*7.1%</f>
        <v>709.99999999999989</v>
      </c>
      <c r="M306" s="22">
        <v>130</v>
      </c>
      <c r="N306" s="22">
        <v>304</v>
      </c>
      <c r="O306" s="22">
        <v>709</v>
      </c>
      <c r="P306" s="22">
        <v>0</v>
      </c>
      <c r="Q306" s="21">
        <f>K306+N306</f>
        <v>591</v>
      </c>
      <c r="R306" s="21">
        <f>G306+H306+I306+J306+K306+N306+P306</f>
        <v>616</v>
      </c>
      <c r="S306" s="21">
        <f>L306+M306+O306</f>
        <v>1549</v>
      </c>
      <c r="T306" s="21">
        <f>F306-R306</f>
        <v>9384</v>
      </c>
      <c r="U306" s="24" t="s">
        <v>30</v>
      </c>
    </row>
    <row r="307" spans="1:21" ht="15.75" customHeight="1">
      <c r="A307" s="19">
        <v>292</v>
      </c>
      <c r="B307" s="23" t="s">
        <v>389</v>
      </c>
      <c r="C307" s="23" t="s">
        <v>77</v>
      </c>
      <c r="D307" s="23" t="s">
        <v>61</v>
      </c>
      <c r="E307" s="24" t="s">
        <v>29</v>
      </c>
      <c r="F307" s="21">
        <v>10000</v>
      </c>
      <c r="G307" s="22">
        <v>0</v>
      </c>
      <c r="H307" s="22">
        <v>25</v>
      </c>
      <c r="I307" s="22">
        <v>0</v>
      </c>
      <c r="J307" s="22">
        <v>0</v>
      </c>
      <c r="K307" s="22">
        <f>F307*2.87%</f>
        <v>287</v>
      </c>
      <c r="L307" s="22">
        <f>F307*7.1%</f>
        <v>709.99999999999989</v>
      </c>
      <c r="M307" s="22">
        <v>130</v>
      </c>
      <c r="N307" s="22">
        <v>304</v>
      </c>
      <c r="O307" s="22">
        <v>709</v>
      </c>
      <c r="P307" s="22">
        <v>0</v>
      </c>
      <c r="Q307" s="21">
        <f>K307+N307</f>
        <v>591</v>
      </c>
      <c r="R307" s="21">
        <f>G307+H307+I307+J307+K307+N307+P307</f>
        <v>616</v>
      </c>
      <c r="S307" s="21">
        <f>L307+M307+O307</f>
        <v>1549</v>
      </c>
      <c r="T307" s="21">
        <f>F307-R307</f>
        <v>9384</v>
      </c>
      <c r="U307" s="24" t="s">
        <v>30</v>
      </c>
    </row>
    <row r="308" spans="1:21" ht="15.75" customHeight="1">
      <c r="A308" s="23">
        <v>293</v>
      </c>
      <c r="B308" s="23" t="s">
        <v>390</v>
      </c>
      <c r="C308" s="23" t="s">
        <v>57</v>
      </c>
      <c r="D308" s="23" t="s">
        <v>58</v>
      </c>
      <c r="E308" s="24" t="s">
        <v>29</v>
      </c>
      <c r="F308" s="21">
        <v>15000</v>
      </c>
      <c r="G308" s="22">
        <v>0</v>
      </c>
      <c r="H308" s="22">
        <v>25</v>
      </c>
      <c r="I308" s="22">
        <v>0</v>
      </c>
      <c r="J308" s="22">
        <v>0</v>
      </c>
      <c r="K308" s="22">
        <f>F308*2.87%</f>
        <v>430.5</v>
      </c>
      <c r="L308" s="22">
        <f>F308*7.1%</f>
        <v>1065</v>
      </c>
      <c r="M308" s="22">
        <v>195</v>
      </c>
      <c r="N308" s="22">
        <v>456</v>
      </c>
      <c r="O308" s="22">
        <v>1063.5</v>
      </c>
      <c r="P308" s="22">
        <v>0</v>
      </c>
      <c r="Q308" s="21">
        <f>K308+N308</f>
        <v>886.5</v>
      </c>
      <c r="R308" s="21">
        <f>G308+H308+I308+J308+K308+N308+P308</f>
        <v>911.5</v>
      </c>
      <c r="S308" s="21">
        <f>L308+M308+O308</f>
        <v>2323.5</v>
      </c>
      <c r="T308" s="21">
        <f>F308-R308</f>
        <v>14088.5</v>
      </c>
      <c r="U308" s="24" t="s">
        <v>30</v>
      </c>
    </row>
    <row r="309" spans="1:21" ht="15.75" customHeight="1">
      <c r="A309" s="23">
        <v>294</v>
      </c>
      <c r="B309" s="23" t="s">
        <v>751</v>
      </c>
      <c r="C309" s="23" t="s">
        <v>66</v>
      </c>
      <c r="D309" s="23" t="s">
        <v>61</v>
      </c>
      <c r="E309" s="24" t="s">
        <v>29</v>
      </c>
      <c r="F309" s="21">
        <v>30000</v>
      </c>
      <c r="G309" s="22">
        <v>0</v>
      </c>
      <c r="H309" s="22">
        <v>25</v>
      </c>
      <c r="I309" s="22">
        <v>0</v>
      </c>
      <c r="J309" s="22">
        <v>0</v>
      </c>
      <c r="K309" s="22">
        <f>F309*2.87%</f>
        <v>861</v>
      </c>
      <c r="L309" s="22">
        <f>F309*7.1%</f>
        <v>2130</v>
      </c>
      <c r="M309" s="22">
        <v>390</v>
      </c>
      <c r="N309" s="22">
        <v>912</v>
      </c>
      <c r="O309" s="22">
        <v>2127</v>
      </c>
      <c r="P309" s="22">
        <v>0</v>
      </c>
      <c r="Q309" s="21">
        <f>K309+N309</f>
        <v>1773</v>
      </c>
      <c r="R309" s="21">
        <f>G309+H309+I309+J309+K309+N309+P309</f>
        <v>1798</v>
      </c>
      <c r="S309" s="21">
        <f>L309+M309+O309</f>
        <v>4647</v>
      </c>
      <c r="T309" s="21">
        <f>F309-R309</f>
        <v>28202</v>
      </c>
      <c r="U309" s="24" t="s">
        <v>30</v>
      </c>
    </row>
    <row r="310" spans="1:21" ht="15.75" customHeight="1">
      <c r="A310" s="19">
        <v>295</v>
      </c>
      <c r="B310" s="23" t="s">
        <v>391</v>
      </c>
      <c r="C310" s="23" t="s">
        <v>57</v>
      </c>
      <c r="D310" s="23" t="s">
        <v>58</v>
      </c>
      <c r="E310" s="24" t="s">
        <v>29</v>
      </c>
      <c r="F310" s="21">
        <v>10000</v>
      </c>
      <c r="G310" s="22">
        <v>0</v>
      </c>
      <c r="H310" s="22">
        <v>25</v>
      </c>
      <c r="I310" s="22">
        <v>0</v>
      </c>
      <c r="J310" s="22">
        <v>0</v>
      </c>
      <c r="K310" s="22">
        <f>F310*2.87%</f>
        <v>287</v>
      </c>
      <c r="L310" s="22">
        <f>F310*7.1%</f>
        <v>709.99999999999989</v>
      </c>
      <c r="M310" s="22">
        <v>130</v>
      </c>
      <c r="N310" s="22">
        <v>304</v>
      </c>
      <c r="O310" s="22">
        <v>709</v>
      </c>
      <c r="P310" s="22">
        <v>0</v>
      </c>
      <c r="Q310" s="21">
        <f>K310+N310</f>
        <v>591</v>
      </c>
      <c r="R310" s="21">
        <f>G310+H310+I310+J310+K310+N310+P310</f>
        <v>616</v>
      </c>
      <c r="S310" s="21">
        <f>L310+M310+O310</f>
        <v>1549</v>
      </c>
      <c r="T310" s="21">
        <f>F310-R310</f>
        <v>9384</v>
      </c>
      <c r="U310" s="24" t="s">
        <v>30</v>
      </c>
    </row>
    <row r="311" spans="1:21" ht="15.75" customHeight="1">
      <c r="A311" s="23">
        <v>296</v>
      </c>
      <c r="B311" s="23" t="s">
        <v>392</v>
      </c>
      <c r="C311" s="23" t="s">
        <v>51</v>
      </c>
      <c r="D311" s="23" t="s">
        <v>52</v>
      </c>
      <c r="E311" s="24" t="s">
        <v>29</v>
      </c>
      <c r="F311" s="21">
        <v>15000</v>
      </c>
      <c r="G311" s="22">
        <v>0</v>
      </c>
      <c r="H311" s="22">
        <v>25</v>
      </c>
      <c r="I311" s="22">
        <v>0</v>
      </c>
      <c r="J311" s="22">
        <f>1000+300+8338.05</f>
        <v>9638.0499999999993</v>
      </c>
      <c r="K311" s="22">
        <f>F311*2.87%</f>
        <v>430.5</v>
      </c>
      <c r="L311" s="22">
        <f>F311*7.1%</f>
        <v>1065</v>
      </c>
      <c r="M311" s="22">
        <v>195</v>
      </c>
      <c r="N311" s="22">
        <v>456</v>
      </c>
      <c r="O311" s="22">
        <v>1063.5</v>
      </c>
      <c r="P311" s="22">
        <v>0</v>
      </c>
      <c r="Q311" s="21">
        <f>K311+N311</f>
        <v>886.5</v>
      </c>
      <c r="R311" s="21">
        <f>G311+H311+I311+J311+K311+N311+P311</f>
        <v>10549.55</v>
      </c>
      <c r="S311" s="21">
        <f>L311+M311+O311</f>
        <v>2323.5</v>
      </c>
      <c r="T311" s="21">
        <f>F311-R311</f>
        <v>4450.4500000000007</v>
      </c>
      <c r="U311" s="24" t="s">
        <v>30</v>
      </c>
    </row>
    <row r="312" spans="1:21" ht="15.75" customHeight="1">
      <c r="A312" s="23">
        <v>297</v>
      </c>
      <c r="B312" s="23" t="s">
        <v>393</v>
      </c>
      <c r="C312" s="23" t="s">
        <v>77</v>
      </c>
      <c r="D312" s="23" t="s">
        <v>78</v>
      </c>
      <c r="E312" s="24" t="s">
        <v>29</v>
      </c>
      <c r="F312" s="21">
        <v>10000</v>
      </c>
      <c r="G312" s="22">
        <v>0</v>
      </c>
      <c r="H312" s="22">
        <v>25</v>
      </c>
      <c r="I312" s="22">
        <v>0</v>
      </c>
      <c r="J312" s="22">
        <v>0</v>
      </c>
      <c r="K312" s="22">
        <f>F312*2.87%</f>
        <v>287</v>
      </c>
      <c r="L312" s="22">
        <f>F312*7.1%</f>
        <v>709.99999999999989</v>
      </c>
      <c r="M312" s="22">
        <v>130</v>
      </c>
      <c r="N312" s="22">
        <v>304</v>
      </c>
      <c r="O312" s="22">
        <v>709</v>
      </c>
      <c r="P312" s="22">
        <v>0</v>
      </c>
      <c r="Q312" s="21">
        <f>K312+N312</f>
        <v>591</v>
      </c>
      <c r="R312" s="21">
        <f>G312+H312+I312+J312+K312+N312+P312</f>
        <v>616</v>
      </c>
      <c r="S312" s="21">
        <f>L312+M312+O312</f>
        <v>1549</v>
      </c>
      <c r="T312" s="21">
        <f>F312-R312</f>
        <v>9384</v>
      </c>
      <c r="U312" s="24" t="s">
        <v>30</v>
      </c>
    </row>
    <row r="313" spans="1:21" ht="15.75" customHeight="1">
      <c r="A313" s="19">
        <v>298</v>
      </c>
      <c r="B313" s="23" t="s">
        <v>394</v>
      </c>
      <c r="C313" s="23" t="s">
        <v>287</v>
      </c>
      <c r="D313" s="23" t="s">
        <v>49</v>
      </c>
      <c r="E313" s="24" t="s">
        <v>29</v>
      </c>
      <c r="F313" s="21">
        <v>30000</v>
      </c>
      <c r="G313" s="22">
        <v>0</v>
      </c>
      <c r="H313" s="22">
        <v>25</v>
      </c>
      <c r="I313" s="22">
        <v>0</v>
      </c>
      <c r="J313" s="22">
        <f>5000+300</f>
        <v>5300</v>
      </c>
      <c r="K313" s="22">
        <f>F313*2.87%</f>
        <v>861</v>
      </c>
      <c r="L313" s="22">
        <f>F313*7.1%</f>
        <v>2130</v>
      </c>
      <c r="M313" s="22">
        <v>390</v>
      </c>
      <c r="N313" s="22">
        <v>912</v>
      </c>
      <c r="O313" s="22">
        <v>2127</v>
      </c>
      <c r="P313" s="22">
        <v>0</v>
      </c>
      <c r="Q313" s="21">
        <f>K313+N313</f>
        <v>1773</v>
      </c>
      <c r="R313" s="21">
        <f>G313+H313+I313+J313+K313+N313+P313</f>
        <v>7098</v>
      </c>
      <c r="S313" s="21">
        <f>L313+M313+O313</f>
        <v>4647</v>
      </c>
      <c r="T313" s="21">
        <f>F313-R313</f>
        <v>22902</v>
      </c>
      <c r="U313" s="24" t="s">
        <v>30</v>
      </c>
    </row>
    <row r="314" spans="1:21" ht="15.75" customHeight="1">
      <c r="A314" s="23">
        <v>299</v>
      </c>
      <c r="B314" s="23" t="s">
        <v>395</v>
      </c>
      <c r="C314" s="23" t="s">
        <v>201</v>
      </c>
      <c r="D314" s="23" t="s">
        <v>72</v>
      </c>
      <c r="E314" s="24" t="s">
        <v>29</v>
      </c>
      <c r="F314" s="21">
        <v>20000</v>
      </c>
      <c r="G314" s="22">
        <v>0</v>
      </c>
      <c r="H314" s="22">
        <v>25</v>
      </c>
      <c r="I314" s="22">
        <v>0</v>
      </c>
      <c r="J314" s="22">
        <v>0</v>
      </c>
      <c r="K314" s="22">
        <f>F314*2.87%</f>
        <v>574</v>
      </c>
      <c r="L314" s="22">
        <f>F314*7.1%</f>
        <v>1419.9999999999998</v>
      </c>
      <c r="M314" s="22">
        <v>260</v>
      </c>
      <c r="N314" s="22">
        <v>608</v>
      </c>
      <c r="O314" s="22">
        <v>1418</v>
      </c>
      <c r="P314" s="22">
        <v>0</v>
      </c>
      <c r="Q314" s="21">
        <f>K314+N314</f>
        <v>1182</v>
      </c>
      <c r="R314" s="21">
        <f>G314+H314+I314+J314+K314+N314+P314</f>
        <v>1207</v>
      </c>
      <c r="S314" s="21">
        <f>L314+M314+O314</f>
        <v>3098</v>
      </c>
      <c r="T314" s="21">
        <f>F314-R314</f>
        <v>18793</v>
      </c>
      <c r="U314" s="24" t="s">
        <v>30</v>
      </c>
    </row>
    <row r="315" spans="1:21" ht="15.75" customHeight="1">
      <c r="A315" s="23">
        <v>300</v>
      </c>
      <c r="B315" s="23" t="s">
        <v>396</v>
      </c>
      <c r="C315" s="23" t="s">
        <v>287</v>
      </c>
      <c r="D315" s="23" t="s">
        <v>61</v>
      </c>
      <c r="E315" s="24" t="s">
        <v>29</v>
      </c>
      <c r="F315" s="21">
        <v>15500</v>
      </c>
      <c r="G315" s="22">
        <v>0</v>
      </c>
      <c r="H315" s="22">
        <v>25</v>
      </c>
      <c r="I315" s="22">
        <v>0</v>
      </c>
      <c r="J315" s="22">
        <v>0</v>
      </c>
      <c r="K315" s="22">
        <f>F315*2.87%</f>
        <v>444.85</v>
      </c>
      <c r="L315" s="22">
        <f>F315*7.1%</f>
        <v>1100.5</v>
      </c>
      <c r="M315" s="22">
        <v>201.5</v>
      </c>
      <c r="N315" s="22">
        <v>471.2</v>
      </c>
      <c r="O315" s="22">
        <v>1098.95</v>
      </c>
      <c r="P315" s="22">
        <v>0</v>
      </c>
      <c r="Q315" s="21">
        <f>K315+N315</f>
        <v>916.05</v>
      </c>
      <c r="R315" s="21">
        <f>G315+H315+I315+J315+K315+N315+P315</f>
        <v>941.05</v>
      </c>
      <c r="S315" s="21">
        <f>L315+M315+O315</f>
        <v>2400.9499999999998</v>
      </c>
      <c r="T315" s="21">
        <f>F315-R315</f>
        <v>14558.95</v>
      </c>
      <c r="U315" s="24" t="s">
        <v>30</v>
      </c>
    </row>
    <row r="316" spans="1:21" ht="15.75" customHeight="1">
      <c r="A316" s="19">
        <v>301</v>
      </c>
      <c r="B316" s="23" t="s">
        <v>397</v>
      </c>
      <c r="C316" s="23" t="s">
        <v>71</v>
      </c>
      <c r="D316" s="23" t="s">
        <v>72</v>
      </c>
      <c r="E316" s="24" t="s">
        <v>29</v>
      </c>
      <c r="F316" s="21">
        <v>15000</v>
      </c>
      <c r="G316" s="22">
        <v>0</v>
      </c>
      <c r="H316" s="22">
        <v>25</v>
      </c>
      <c r="I316" s="22">
        <v>0</v>
      </c>
      <c r="J316" s="22">
        <v>1000</v>
      </c>
      <c r="K316" s="22">
        <f>F316*2.87%</f>
        <v>430.5</v>
      </c>
      <c r="L316" s="22">
        <f>F316*7.1%</f>
        <v>1065</v>
      </c>
      <c r="M316" s="22">
        <v>195</v>
      </c>
      <c r="N316" s="22">
        <v>456</v>
      </c>
      <c r="O316" s="22">
        <v>1063.5</v>
      </c>
      <c r="P316" s="22">
        <v>0</v>
      </c>
      <c r="Q316" s="21">
        <f>K316+N316</f>
        <v>886.5</v>
      </c>
      <c r="R316" s="21">
        <f>G316+H316+I316+J316+K316+N316+P316</f>
        <v>1911.5</v>
      </c>
      <c r="S316" s="21">
        <f>L316+M316+O316</f>
        <v>2323.5</v>
      </c>
      <c r="T316" s="21">
        <f>F316-R316</f>
        <v>13088.5</v>
      </c>
      <c r="U316" s="24" t="s">
        <v>36</v>
      </c>
    </row>
    <row r="317" spans="1:21" ht="15.75" customHeight="1">
      <c r="A317" s="23">
        <v>302</v>
      </c>
      <c r="B317" s="23" t="s">
        <v>398</v>
      </c>
      <c r="C317" s="23" t="s">
        <v>68</v>
      </c>
      <c r="D317" s="23" t="s">
        <v>138</v>
      </c>
      <c r="E317" s="24" t="s">
        <v>29</v>
      </c>
      <c r="F317" s="21">
        <v>25000</v>
      </c>
      <c r="G317" s="22">
        <v>0</v>
      </c>
      <c r="H317" s="22">
        <v>25</v>
      </c>
      <c r="I317" s="22">
        <v>0</v>
      </c>
      <c r="J317" s="22">
        <v>0</v>
      </c>
      <c r="K317" s="22">
        <f>F317*2.87%</f>
        <v>717.5</v>
      </c>
      <c r="L317" s="22">
        <f>F317*7.1%</f>
        <v>1774.9999999999998</v>
      </c>
      <c r="M317" s="22">
        <v>325</v>
      </c>
      <c r="N317" s="22">
        <v>760</v>
      </c>
      <c r="O317" s="22">
        <v>1772.5000000000002</v>
      </c>
      <c r="P317" s="22">
        <v>0</v>
      </c>
      <c r="Q317" s="21">
        <f>K317+N317</f>
        <v>1477.5</v>
      </c>
      <c r="R317" s="21">
        <f>G317+H317+I317+J317+K317+N317+P317</f>
        <v>1502.5</v>
      </c>
      <c r="S317" s="21">
        <f>L317+M317+O317</f>
        <v>3872.5</v>
      </c>
      <c r="T317" s="21">
        <f>F317-R317</f>
        <v>23497.5</v>
      </c>
      <c r="U317" s="24" t="s">
        <v>30</v>
      </c>
    </row>
    <row r="318" spans="1:21" ht="15.75" customHeight="1">
      <c r="A318" s="23">
        <v>303</v>
      </c>
      <c r="B318" s="23" t="s">
        <v>399</v>
      </c>
      <c r="C318" s="23" t="s">
        <v>201</v>
      </c>
      <c r="D318" s="23" t="s">
        <v>72</v>
      </c>
      <c r="E318" s="24" t="s">
        <v>29</v>
      </c>
      <c r="F318" s="21">
        <v>20000</v>
      </c>
      <c r="G318" s="22">
        <v>0</v>
      </c>
      <c r="H318" s="22">
        <v>25</v>
      </c>
      <c r="I318" s="22">
        <v>996.71</v>
      </c>
      <c r="J318" s="22">
        <f>1000+300+4784.5</f>
        <v>6084.5</v>
      </c>
      <c r="K318" s="22">
        <f>F318*2.87%</f>
        <v>574</v>
      </c>
      <c r="L318" s="22">
        <f>F318*7.1%</f>
        <v>1419.9999999999998</v>
      </c>
      <c r="M318" s="22">
        <v>260</v>
      </c>
      <c r="N318" s="22">
        <v>608</v>
      </c>
      <c r="O318" s="22">
        <v>1418</v>
      </c>
      <c r="P318" s="22">
        <v>0</v>
      </c>
      <c r="Q318" s="21">
        <f>K318+N318</f>
        <v>1182</v>
      </c>
      <c r="R318" s="21">
        <f>G318+H318+I318+J318+K318+N318+P318</f>
        <v>8288.2099999999991</v>
      </c>
      <c r="S318" s="21">
        <f>L318+M318+O318</f>
        <v>3098</v>
      </c>
      <c r="T318" s="21">
        <f>F318-R318</f>
        <v>11711.79</v>
      </c>
      <c r="U318" s="24" t="s">
        <v>30</v>
      </c>
    </row>
    <row r="319" spans="1:21" ht="15.75" customHeight="1">
      <c r="A319" s="19">
        <v>304</v>
      </c>
      <c r="B319" s="23" t="s">
        <v>400</v>
      </c>
      <c r="C319" s="23" t="s">
        <v>401</v>
      </c>
      <c r="D319" s="23" t="s">
        <v>61</v>
      </c>
      <c r="E319" s="24" t="s">
        <v>317</v>
      </c>
      <c r="F319" s="21">
        <v>65002.2</v>
      </c>
      <c r="G319" s="22">
        <v>4427.99</v>
      </c>
      <c r="H319" s="22">
        <v>25</v>
      </c>
      <c r="I319" s="22">
        <v>0</v>
      </c>
      <c r="J319" s="22">
        <v>0</v>
      </c>
      <c r="K319" s="22">
        <f>F319*2.87%</f>
        <v>1865.56314</v>
      </c>
      <c r="L319" s="22">
        <f>F319*7.1%</f>
        <v>4615.1561999999994</v>
      </c>
      <c r="M319" s="22">
        <v>845.03</v>
      </c>
      <c r="N319" s="22">
        <v>1976.0668799999999</v>
      </c>
      <c r="O319" s="22">
        <v>4608.6559800000005</v>
      </c>
      <c r="P319" s="22">
        <v>0</v>
      </c>
      <c r="Q319" s="21">
        <f>K319+N319</f>
        <v>3841.6300199999996</v>
      </c>
      <c r="R319" s="21">
        <f>G319+H319+I319+J319+K319+N319+P319</f>
        <v>8294.6200200000003</v>
      </c>
      <c r="S319" s="21">
        <f>L319+M319+O319</f>
        <v>10068.84218</v>
      </c>
      <c r="T319" s="21">
        <f>F319-R319</f>
        <v>56707.579979999995</v>
      </c>
      <c r="U319" s="24" t="s">
        <v>30</v>
      </c>
    </row>
    <row r="320" spans="1:21" ht="15.75" customHeight="1">
      <c r="A320" s="23">
        <v>305</v>
      </c>
      <c r="B320" s="23" t="s">
        <v>402</v>
      </c>
      <c r="C320" s="23" t="s">
        <v>96</v>
      </c>
      <c r="D320" s="23" t="s">
        <v>49</v>
      </c>
      <c r="E320" s="24" t="s">
        <v>29</v>
      </c>
      <c r="F320" s="21">
        <v>27136.75</v>
      </c>
      <c r="G320" s="22">
        <v>0</v>
      </c>
      <c r="H320" s="22">
        <v>25</v>
      </c>
      <c r="I320" s="22">
        <v>0</v>
      </c>
      <c r="J320" s="22">
        <f>1000+300+1835.92</f>
        <v>3135.92</v>
      </c>
      <c r="K320" s="22">
        <f>F320*2.87%</f>
        <v>778.82472499999994</v>
      </c>
      <c r="L320" s="22">
        <f>F320*7.1%</f>
        <v>1926.7092499999999</v>
      </c>
      <c r="M320" s="22">
        <v>352.78</v>
      </c>
      <c r="N320" s="22">
        <v>824.95719999999994</v>
      </c>
      <c r="O320" s="22">
        <v>1923.9955750000001</v>
      </c>
      <c r="P320" s="22">
        <v>0</v>
      </c>
      <c r="Q320" s="21">
        <f>K320+N320</f>
        <v>1603.7819249999998</v>
      </c>
      <c r="R320" s="21">
        <f>G320+H320+I320+J320+K320+N320+P320</f>
        <v>4764.7019250000003</v>
      </c>
      <c r="S320" s="21">
        <f>L320+M320+O320</f>
        <v>4203.4848249999995</v>
      </c>
      <c r="T320" s="21">
        <f>F320-R320</f>
        <v>22372.048074999999</v>
      </c>
      <c r="U320" s="24" t="s">
        <v>30</v>
      </c>
    </row>
    <row r="321" spans="1:21" ht="15.75" customHeight="1">
      <c r="A321" s="23">
        <v>306</v>
      </c>
      <c r="B321" s="23" t="s">
        <v>403</v>
      </c>
      <c r="C321" s="23" t="s">
        <v>77</v>
      </c>
      <c r="D321" s="23" t="s">
        <v>61</v>
      </c>
      <c r="E321" s="24" t="s">
        <v>29</v>
      </c>
      <c r="F321" s="21">
        <v>15000</v>
      </c>
      <c r="G321" s="22">
        <v>0</v>
      </c>
      <c r="H321" s="22">
        <v>25</v>
      </c>
      <c r="I321" s="22">
        <v>0</v>
      </c>
      <c r="J321" s="22">
        <v>0</v>
      </c>
      <c r="K321" s="22">
        <f>F321*2.87%</f>
        <v>430.5</v>
      </c>
      <c r="L321" s="22">
        <f>F321*7.1%</f>
        <v>1065</v>
      </c>
      <c r="M321" s="22">
        <v>195</v>
      </c>
      <c r="N321" s="22">
        <v>456</v>
      </c>
      <c r="O321" s="22">
        <v>1063.5</v>
      </c>
      <c r="P321" s="22">
        <v>0</v>
      </c>
      <c r="Q321" s="21">
        <f>K321+N321</f>
        <v>886.5</v>
      </c>
      <c r="R321" s="21">
        <f>G321+H321+I321+J321+K321+N321+P321</f>
        <v>911.5</v>
      </c>
      <c r="S321" s="21">
        <f>L321+M321+O321</f>
        <v>2323.5</v>
      </c>
      <c r="T321" s="21">
        <f>F321-R321</f>
        <v>14088.5</v>
      </c>
      <c r="U321" s="24" t="s">
        <v>30</v>
      </c>
    </row>
    <row r="322" spans="1:21" ht="15.75" customHeight="1">
      <c r="A322" s="19">
        <v>307</v>
      </c>
      <c r="B322" s="23" t="s">
        <v>404</v>
      </c>
      <c r="C322" s="23" t="s">
        <v>77</v>
      </c>
      <c r="D322" s="23" t="s">
        <v>61</v>
      </c>
      <c r="E322" s="24" t="s">
        <v>29</v>
      </c>
      <c r="F322" s="21">
        <v>15000</v>
      </c>
      <c r="G322" s="22">
        <v>0</v>
      </c>
      <c r="H322" s="22">
        <v>25</v>
      </c>
      <c r="I322" s="22">
        <v>917.95</v>
      </c>
      <c r="J322" s="22">
        <f>500+300+4598+655.5</f>
        <v>6053.5</v>
      </c>
      <c r="K322" s="22">
        <f>F322*2.87%</f>
        <v>430.5</v>
      </c>
      <c r="L322" s="22">
        <f>F322*7.1%</f>
        <v>1065</v>
      </c>
      <c r="M322" s="22">
        <v>195</v>
      </c>
      <c r="N322" s="22">
        <v>456</v>
      </c>
      <c r="O322" s="22">
        <v>1063.5</v>
      </c>
      <c r="P322" s="22">
        <v>0</v>
      </c>
      <c r="Q322" s="21">
        <f>K322+N322</f>
        <v>886.5</v>
      </c>
      <c r="R322" s="21">
        <f>G322+H322+I322+J322+K322+N322+P322</f>
        <v>7882.95</v>
      </c>
      <c r="S322" s="21">
        <f>L322+M322+O322</f>
        <v>2323.5</v>
      </c>
      <c r="T322" s="21">
        <f>F322-R322</f>
        <v>7117.05</v>
      </c>
      <c r="U322" s="24" t="s">
        <v>30</v>
      </c>
    </row>
    <row r="323" spans="1:21" ht="15.75" customHeight="1">
      <c r="A323" s="23">
        <v>308</v>
      </c>
      <c r="B323" s="23" t="s">
        <v>405</v>
      </c>
      <c r="C323" s="23" t="s">
        <v>57</v>
      </c>
      <c r="D323" s="23" t="s">
        <v>58</v>
      </c>
      <c r="E323" s="24" t="s">
        <v>29</v>
      </c>
      <c r="F323" s="21">
        <v>12100</v>
      </c>
      <c r="G323" s="22">
        <v>0</v>
      </c>
      <c r="H323" s="22">
        <v>25</v>
      </c>
      <c r="I323" s="22">
        <v>0</v>
      </c>
      <c r="J323" s="22">
        <v>0</v>
      </c>
      <c r="K323" s="22">
        <f>F323*2.87%</f>
        <v>347.27</v>
      </c>
      <c r="L323" s="22">
        <f>F323*7.1%</f>
        <v>859.09999999999991</v>
      </c>
      <c r="M323" s="22">
        <v>157.30000000000001</v>
      </c>
      <c r="N323" s="22">
        <v>367.84</v>
      </c>
      <c r="O323" s="22">
        <v>857.8900000000001</v>
      </c>
      <c r="P323" s="22">
        <v>0</v>
      </c>
      <c r="Q323" s="21">
        <f>K323+N323</f>
        <v>715.1099999999999</v>
      </c>
      <c r="R323" s="21">
        <f>G323+H323+I323+J323+K323+N323+P323</f>
        <v>740.1099999999999</v>
      </c>
      <c r="S323" s="21">
        <f>L323+M323+O323</f>
        <v>1874.29</v>
      </c>
      <c r="T323" s="21">
        <f>F323-R323</f>
        <v>11359.89</v>
      </c>
      <c r="U323" s="24" t="s">
        <v>30</v>
      </c>
    </row>
    <row r="324" spans="1:21" ht="15.75" customHeight="1">
      <c r="A324" s="23">
        <v>309</v>
      </c>
      <c r="B324" s="23" t="s">
        <v>406</v>
      </c>
      <c r="C324" s="23" t="s">
        <v>77</v>
      </c>
      <c r="D324" s="23" t="s">
        <v>78</v>
      </c>
      <c r="E324" s="24" t="s">
        <v>29</v>
      </c>
      <c r="F324" s="21">
        <v>10000</v>
      </c>
      <c r="G324" s="22">
        <v>0</v>
      </c>
      <c r="H324" s="22">
        <v>25</v>
      </c>
      <c r="I324" s="22">
        <v>0</v>
      </c>
      <c r="J324" s="22">
        <v>0</v>
      </c>
      <c r="K324" s="22">
        <f>F324*2.87%</f>
        <v>287</v>
      </c>
      <c r="L324" s="22">
        <f>F324*7.1%</f>
        <v>709.99999999999989</v>
      </c>
      <c r="M324" s="22">
        <v>130</v>
      </c>
      <c r="N324" s="22">
        <v>304</v>
      </c>
      <c r="O324" s="22">
        <v>709</v>
      </c>
      <c r="P324" s="22">
        <v>0</v>
      </c>
      <c r="Q324" s="21">
        <f>K324+N324</f>
        <v>591</v>
      </c>
      <c r="R324" s="21">
        <f>G324+H324+I324+J324+K324+N324+P324</f>
        <v>616</v>
      </c>
      <c r="S324" s="21">
        <f>L324+M324+O324</f>
        <v>1549</v>
      </c>
      <c r="T324" s="21">
        <f>F324-R324</f>
        <v>9384</v>
      </c>
      <c r="U324" s="24" t="s">
        <v>30</v>
      </c>
    </row>
    <row r="325" spans="1:21" ht="15.75" customHeight="1">
      <c r="A325" s="19">
        <v>310</v>
      </c>
      <c r="B325" s="23" t="s">
        <v>407</v>
      </c>
      <c r="C325" s="23" t="s">
        <v>63</v>
      </c>
      <c r="D325" s="23" t="s">
        <v>98</v>
      </c>
      <c r="E325" s="24" t="s">
        <v>29</v>
      </c>
      <c r="F325" s="21">
        <v>20000</v>
      </c>
      <c r="G325" s="22">
        <v>0</v>
      </c>
      <c r="H325" s="22">
        <v>25</v>
      </c>
      <c r="I325" s="22">
        <v>0</v>
      </c>
      <c r="J325" s="22">
        <v>0</v>
      </c>
      <c r="K325" s="22">
        <f>F325*2.87%</f>
        <v>574</v>
      </c>
      <c r="L325" s="22">
        <f>F325*7.1%</f>
        <v>1419.9999999999998</v>
      </c>
      <c r="M325" s="22">
        <v>260</v>
      </c>
      <c r="N325" s="22">
        <v>608</v>
      </c>
      <c r="O325" s="22">
        <v>1418</v>
      </c>
      <c r="P325" s="22">
        <v>0</v>
      </c>
      <c r="Q325" s="21">
        <f>K325+N325</f>
        <v>1182</v>
      </c>
      <c r="R325" s="21">
        <f>G325+H325+I325+J325+K325+N325+P325</f>
        <v>1207</v>
      </c>
      <c r="S325" s="21">
        <f>L325+M325+O325</f>
        <v>3098</v>
      </c>
      <c r="T325" s="21">
        <f>F325-R325</f>
        <v>18793</v>
      </c>
      <c r="U325" s="24" t="s">
        <v>30</v>
      </c>
    </row>
    <row r="326" spans="1:21" ht="15.75" customHeight="1">
      <c r="A326" s="23">
        <v>311</v>
      </c>
      <c r="B326" s="23" t="s">
        <v>408</v>
      </c>
      <c r="C326" s="23" t="s">
        <v>60</v>
      </c>
      <c r="D326" s="23" t="s">
        <v>61</v>
      </c>
      <c r="E326" s="24" t="s">
        <v>29</v>
      </c>
      <c r="F326" s="21">
        <v>35000</v>
      </c>
      <c r="G326" s="22">
        <v>0</v>
      </c>
      <c r="H326" s="22">
        <v>25</v>
      </c>
      <c r="I326" s="22">
        <v>0</v>
      </c>
      <c r="J326" s="22">
        <f>300+300+4779.94</f>
        <v>5379.94</v>
      </c>
      <c r="K326" s="22">
        <f>F326*2.87%</f>
        <v>1004.5</v>
      </c>
      <c r="L326" s="22">
        <f>F326*7.1%</f>
        <v>2485</v>
      </c>
      <c r="M326" s="22">
        <v>455</v>
      </c>
      <c r="N326" s="22">
        <v>1064</v>
      </c>
      <c r="O326" s="22">
        <v>2481.5</v>
      </c>
      <c r="P326" s="22">
        <v>0</v>
      </c>
      <c r="Q326" s="21">
        <f>K326+N326</f>
        <v>2068.5</v>
      </c>
      <c r="R326" s="21">
        <f>G326+H326+I326+J326+K326+N326+P326</f>
        <v>7473.44</v>
      </c>
      <c r="S326" s="21">
        <f>L326+M326+O326</f>
        <v>5421.5</v>
      </c>
      <c r="T326" s="21">
        <f>F326-R326</f>
        <v>27526.560000000001</v>
      </c>
      <c r="U326" s="24" t="s">
        <v>30</v>
      </c>
    </row>
    <row r="327" spans="1:21" ht="15.75" customHeight="1">
      <c r="A327" s="23">
        <v>312</v>
      </c>
      <c r="B327" s="23" t="s">
        <v>409</v>
      </c>
      <c r="C327" s="23" t="s">
        <v>77</v>
      </c>
      <c r="D327" s="23" t="s">
        <v>78</v>
      </c>
      <c r="E327" s="24" t="s">
        <v>29</v>
      </c>
      <c r="F327" s="21">
        <v>10000</v>
      </c>
      <c r="G327" s="22">
        <v>0</v>
      </c>
      <c r="H327" s="22">
        <v>25</v>
      </c>
      <c r="I327" s="22">
        <v>0</v>
      </c>
      <c r="J327" s="22">
        <v>0</v>
      </c>
      <c r="K327" s="22">
        <f>F327*2.87%</f>
        <v>287</v>
      </c>
      <c r="L327" s="22">
        <f>F327*7.1%</f>
        <v>709.99999999999989</v>
      </c>
      <c r="M327" s="22">
        <v>130</v>
      </c>
      <c r="N327" s="22">
        <v>304</v>
      </c>
      <c r="O327" s="22">
        <v>709</v>
      </c>
      <c r="P327" s="22">
        <v>0</v>
      </c>
      <c r="Q327" s="21">
        <f>K327+N327</f>
        <v>591</v>
      </c>
      <c r="R327" s="21">
        <f>G327+H327+I327+J327+K327+N327+P327</f>
        <v>616</v>
      </c>
      <c r="S327" s="21">
        <f>L327+M327+O327</f>
        <v>1549</v>
      </c>
      <c r="T327" s="21">
        <f>F327-R327</f>
        <v>9384</v>
      </c>
      <c r="U327" s="24" t="s">
        <v>30</v>
      </c>
    </row>
    <row r="328" spans="1:21" ht="15.75" customHeight="1">
      <c r="A328" s="19">
        <v>313</v>
      </c>
      <c r="B328" s="23" t="s">
        <v>410</v>
      </c>
      <c r="C328" s="23" t="s">
        <v>51</v>
      </c>
      <c r="D328" s="23" t="s">
        <v>52</v>
      </c>
      <c r="E328" s="24" t="s">
        <v>29</v>
      </c>
      <c r="F328" s="21">
        <v>20000</v>
      </c>
      <c r="G328" s="22">
        <v>0</v>
      </c>
      <c r="H328" s="22">
        <v>25</v>
      </c>
      <c r="I328" s="22">
        <v>0</v>
      </c>
      <c r="J328" s="22">
        <v>0</v>
      </c>
      <c r="K328" s="22">
        <f>F328*2.87%</f>
        <v>574</v>
      </c>
      <c r="L328" s="22">
        <f>F328*7.1%</f>
        <v>1419.9999999999998</v>
      </c>
      <c r="M328" s="22">
        <v>260</v>
      </c>
      <c r="N328" s="22">
        <v>608</v>
      </c>
      <c r="O328" s="22">
        <v>1418</v>
      </c>
      <c r="P328" s="22">
        <v>0</v>
      </c>
      <c r="Q328" s="21">
        <f>K328+N328</f>
        <v>1182</v>
      </c>
      <c r="R328" s="21">
        <f>G328+H328+I328+J328+K328+N328+P328</f>
        <v>1207</v>
      </c>
      <c r="S328" s="21">
        <f>L328+M328+O328</f>
        <v>3098</v>
      </c>
      <c r="T328" s="21">
        <f>F328-R328</f>
        <v>18793</v>
      </c>
      <c r="U328" s="24" t="s">
        <v>30</v>
      </c>
    </row>
    <row r="329" spans="1:21" ht="15.75" customHeight="1">
      <c r="A329" s="23">
        <v>314</v>
      </c>
      <c r="B329" s="23" t="s">
        <v>411</v>
      </c>
      <c r="C329" s="23" t="s">
        <v>77</v>
      </c>
      <c r="D329" s="23" t="s">
        <v>78</v>
      </c>
      <c r="E329" s="24" t="s">
        <v>29</v>
      </c>
      <c r="F329" s="21">
        <v>10000</v>
      </c>
      <c r="G329" s="22">
        <v>0</v>
      </c>
      <c r="H329" s="22">
        <v>25</v>
      </c>
      <c r="I329" s="22">
        <v>0</v>
      </c>
      <c r="J329" s="22">
        <v>0</v>
      </c>
      <c r="K329" s="22">
        <f>F329*2.87%</f>
        <v>287</v>
      </c>
      <c r="L329" s="22">
        <f>F329*7.1%</f>
        <v>709.99999999999989</v>
      </c>
      <c r="M329" s="22">
        <v>130</v>
      </c>
      <c r="N329" s="22">
        <v>304</v>
      </c>
      <c r="O329" s="22">
        <v>709</v>
      </c>
      <c r="P329" s="22">
        <v>0</v>
      </c>
      <c r="Q329" s="21">
        <f>K329+N329</f>
        <v>591</v>
      </c>
      <c r="R329" s="21">
        <f>G329+H329+I329+J329+K329+N329+P329</f>
        <v>616</v>
      </c>
      <c r="S329" s="21">
        <f>L329+M329+O329</f>
        <v>1549</v>
      </c>
      <c r="T329" s="21">
        <f>F329-R329</f>
        <v>9384</v>
      </c>
      <c r="U329" s="24" t="s">
        <v>30</v>
      </c>
    </row>
    <row r="330" spans="1:21" ht="15.75" customHeight="1">
      <c r="A330" s="23">
        <v>315</v>
      </c>
      <c r="B330" s="23" t="s">
        <v>412</v>
      </c>
      <c r="C330" s="23" t="s">
        <v>77</v>
      </c>
      <c r="D330" s="23" t="s">
        <v>61</v>
      </c>
      <c r="E330" s="24" t="s">
        <v>29</v>
      </c>
      <c r="F330" s="21">
        <v>10000</v>
      </c>
      <c r="G330" s="22">
        <v>0</v>
      </c>
      <c r="H330" s="22">
        <v>25</v>
      </c>
      <c r="I330" s="22">
        <v>0</v>
      </c>
      <c r="J330" s="22">
        <v>0</v>
      </c>
      <c r="K330" s="22">
        <f>F330*2.87%</f>
        <v>287</v>
      </c>
      <c r="L330" s="22">
        <f>F330*7.1%</f>
        <v>709.99999999999989</v>
      </c>
      <c r="M330" s="22">
        <v>130</v>
      </c>
      <c r="N330" s="22">
        <v>304</v>
      </c>
      <c r="O330" s="22">
        <v>709</v>
      </c>
      <c r="P330" s="22">
        <v>0</v>
      </c>
      <c r="Q330" s="21">
        <f>K330+N330</f>
        <v>591</v>
      </c>
      <c r="R330" s="21">
        <f>G330+H330+I330+J330+K330+N330+P330</f>
        <v>616</v>
      </c>
      <c r="S330" s="21">
        <f>L330+M330+O330</f>
        <v>1549</v>
      </c>
      <c r="T330" s="21">
        <f>F330-R330</f>
        <v>9384</v>
      </c>
      <c r="U330" s="24" t="s">
        <v>36</v>
      </c>
    </row>
    <row r="331" spans="1:21" ht="15.75" customHeight="1">
      <c r="A331" s="19">
        <v>316</v>
      </c>
      <c r="B331" s="23" t="s">
        <v>413</v>
      </c>
      <c r="C331" s="23" t="s">
        <v>48</v>
      </c>
      <c r="D331" s="23" t="s">
        <v>414</v>
      </c>
      <c r="E331" s="24" t="s">
        <v>29</v>
      </c>
      <c r="F331" s="21">
        <v>25000</v>
      </c>
      <c r="G331" s="22">
        <v>0</v>
      </c>
      <c r="H331" s="22">
        <v>25</v>
      </c>
      <c r="I331" s="22">
        <v>0</v>
      </c>
      <c r="J331" s="22">
        <v>0</v>
      </c>
      <c r="K331" s="22">
        <f>F331*2.87%</f>
        <v>717.5</v>
      </c>
      <c r="L331" s="22">
        <f>F331*7.1%</f>
        <v>1774.9999999999998</v>
      </c>
      <c r="M331" s="22">
        <v>325</v>
      </c>
      <c r="N331" s="22">
        <v>760</v>
      </c>
      <c r="O331" s="22">
        <v>1772.5000000000002</v>
      </c>
      <c r="P331" s="22">
        <v>0</v>
      </c>
      <c r="Q331" s="21">
        <f>K331+N331</f>
        <v>1477.5</v>
      </c>
      <c r="R331" s="21">
        <f>G331+H331+I331+J331+K331+N331+P331</f>
        <v>1502.5</v>
      </c>
      <c r="S331" s="21">
        <f>L331+M331+O331</f>
        <v>3872.5</v>
      </c>
      <c r="T331" s="21">
        <f>F331-R331</f>
        <v>23497.5</v>
      </c>
      <c r="U331" s="24" t="s">
        <v>36</v>
      </c>
    </row>
    <row r="332" spans="1:21" ht="15.75" customHeight="1">
      <c r="A332" s="23">
        <v>317</v>
      </c>
      <c r="B332" s="23" t="s">
        <v>747</v>
      </c>
      <c r="C332" s="23" t="s">
        <v>71</v>
      </c>
      <c r="D332" s="23" t="s">
        <v>72</v>
      </c>
      <c r="E332" s="24" t="s">
        <v>29</v>
      </c>
      <c r="F332" s="21">
        <v>15000</v>
      </c>
      <c r="G332" s="22">
        <v>0</v>
      </c>
      <c r="H332" s="22">
        <v>25</v>
      </c>
      <c r="I332" s="22">
        <v>0</v>
      </c>
      <c r="J332" s="22">
        <v>0</v>
      </c>
      <c r="K332" s="22">
        <f>F332*2.87%</f>
        <v>430.5</v>
      </c>
      <c r="L332" s="22">
        <f>F332*7.1%</f>
        <v>1065</v>
      </c>
      <c r="M332" s="22">
        <v>195</v>
      </c>
      <c r="N332" s="22">
        <v>456</v>
      </c>
      <c r="O332" s="22">
        <v>1063.5</v>
      </c>
      <c r="P332" s="22">
        <v>0</v>
      </c>
      <c r="Q332" s="21">
        <f>K332+N332</f>
        <v>886.5</v>
      </c>
      <c r="R332" s="21">
        <f>G332+H332+I332+J332+K332+N332+P332</f>
        <v>911.5</v>
      </c>
      <c r="S332" s="21">
        <f>L332+M332+O332</f>
        <v>2323.5</v>
      </c>
      <c r="T332" s="21">
        <f>F332-R332</f>
        <v>14088.5</v>
      </c>
      <c r="U332" s="24" t="s">
        <v>36</v>
      </c>
    </row>
    <row r="333" spans="1:21" ht="15.75" customHeight="1">
      <c r="A333" s="23">
        <v>318</v>
      </c>
      <c r="B333" s="23" t="s">
        <v>415</v>
      </c>
      <c r="C333" s="23" t="s">
        <v>48</v>
      </c>
      <c r="D333" s="23" t="s">
        <v>98</v>
      </c>
      <c r="E333" s="24" t="s">
        <v>29</v>
      </c>
      <c r="F333" s="21">
        <v>15000</v>
      </c>
      <c r="G333" s="22">
        <v>0</v>
      </c>
      <c r="H333" s="22">
        <v>25</v>
      </c>
      <c r="I333" s="22">
        <v>0</v>
      </c>
      <c r="J333" s="22">
        <v>0</v>
      </c>
      <c r="K333" s="22">
        <f>F333*2.87%</f>
        <v>430.5</v>
      </c>
      <c r="L333" s="22">
        <f>F333*7.1%</f>
        <v>1065</v>
      </c>
      <c r="M333" s="22">
        <v>195</v>
      </c>
      <c r="N333" s="22">
        <v>456</v>
      </c>
      <c r="O333" s="22">
        <v>1063.5</v>
      </c>
      <c r="P333" s="22">
        <v>0</v>
      </c>
      <c r="Q333" s="21">
        <f>K333+N333</f>
        <v>886.5</v>
      </c>
      <c r="R333" s="21">
        <f>G333+H333+I333+J333+K333+N333+P333</f>
        <v>911.5</v>
      </c>
      <c r="S333" s="21">
        <f>L333+M333+O333</f>
        <v>2323.5</v>
      </c>
      <c r="T333" s="21">
        <f>F333-R333</f>
        <v>14088.5</v>
      </c>
      <c r="U333" s="24" t="s">
        <v>36</v>
      </c>
    </row>
    <row r="334" spans="1:21" ht="15.75" customHeight="1">
      <c r="A334" s="19">
        <v>319</v>
      </c>
      <c r="B334" s="23" t="s">
        <v>416</v>
      </c>
      <c r="C334" s="23" t="s">
        <v>66</v>
      </c>
      <c r="D334" s="23" t="s">
        <v>69</v>
      </c>
      <c r="E334" s="24" t="s">
        <v>29</v>
      </c>
      <c r="F334" s="21">
        <v>25000</v>
      </c>
      <c r="G334" s="22">
        <v>0</v>
      </c>
      <c r="H334" s="22">
        <v>25</v>
      </c>
      <c r="I334" s="22">
        <v>0</v>
      </c>
      <c r="J334" s="22">
        <f>1000+300+8266.72+8958.83</f>
        <v>18525.55</v>
      </c>
      <c r="K334" s="22">
        <f>F334*2.87%</f>
        <v>717.5</v>
      </c>
      <c r="L334" s="22">
        <f>F334*7.1%</f>
        <v>1774.9999999999998</v>
      </c>
      <c r="M334" s="22">
        <v>325</v>
      </c>
      <c r="N334" s="22">
        <v>760</v>
      </c>
      <c r="O334" s="22">
        <v>1772.5000000000002</v>
      </c>
      <c r="P334" s="22">
        <v>0</v>
      </c>
      <c r="Q334" s="21">
        <f>K334+N334</f>
        <v>1477.5</v>
      </c>
      <c r="R334" s="21">
        <f>G334+H334+I334+J334+K334+N334+P334</f>
        <v>20028.05</v>
      </c>
      <c r="S334" s="21">
        <f>L334+M334+O334</f>
        <v>3872.5</v>
      </c>
      <c r="T334" s="21">
        <f>F334-R334</f>
        <v>4971.9500000000007</v>
      </c>
      <c r="U334" s="24" t="s">
        <v>30</v>
      </c>
    </row>
    <row r="335" spans="1:21" ht="15.75" customHeight="1">
      <c r="A335" s="23">
        <v>320</v>
      </c>
      <c r="B335" s="23" t="s">
        <v>417</v>
      </c>
      <c r="C335" s="23" t="s">
        <v>63</v>
      </c>
      <c r="D335" s="23" t="s">
        <v>98</v>
      </c>
      <c r="E335" s="24" t="s">
        <v>29</v>
      </c>
      <c r="F335" s="21">
        <v>25000</v>
      </c>
      <c r="G335" s="22">
        <v>0</v>
      </c>
      <c r="H335" s="22">
        <v>25</v>
      </c>
      <c r="I335" s="22">
        <v>0</v>
      </c>
      <c r="J335" s="22">
        <f>1500+300</f>
        <v>1800</v>
      </c>
      <c r="K335" s="22">
        <f>F335*2.87%</f>
        <v>717.5</v>
      </c>
      <c r="L335" s="22">
        <f>F335*7.1%</f>
        <v>1774.9999999999998</v>
      </c>
      <c r="M335" s="22">
        <v>325</v>
      </c>
      <c r="N335" s="22">
        <v>760</v>
      </c>
      <c r="O335" s="22">
        <v>1772.5000000000002</v>
      </c>
      <c r="P335" s="22">
        <v>0</v>
      </c>
      <c r="Q335" s="21">
        <f>K335+N335</f>
        <v>1477.5</v>
      </c>
      <c r="R335" s="21">
        <f>G335+H335+I335+J335+K335+N335+P335</f>
        <v>3302.5</v>
      </c>
      <c r="S335" s="21">
        <f>L335+M335+O335</f>
        <v>3872.5</v>
      </c>
      <c r="T335" s="21">
        <f>F335-R335</f>
        <v>21697.5</v>
      </c>
      <c r="U335" s="24" t="s">
        <v>30</v>
      </c>
    </row>
    <row r="336" spans="1:21" ht="15.75" customHeight="1">
      <c r="A336" s="23">
        <v>321</v>
      </c>
      <c r="B336" s="23" t="s">
        <v>418</v>
      </c>
      <c r="C336" s="23" t="s">
        <v>88</v>
      </c>
      <c r="D336" s="23" t="s">
        <v>58</v>
      </c>
      <c r="E336" s="24" t="s">
        <v>29</v>
      </c>
      <c r="F336" s="21">
        <v>10000</v>
      </c>
      <c r="G336" s="22">
        <v>0</v>
      </c>
      <c r="H336" s="22">
        <v>25</v>
      </c>
      <c r="I336" s="22">
        <v>0</v>
      </c>
      <c r="J336" s="22">
        <v>0</v>
      </c>
      <c r="K336" s="22">
        <f>F336*2.87%</f>
        <v>287</v>
      </c>
      <c r="L336" s="22">
        <f>F336*7.1%</f>
        <v>709.99999999999989</v>
      </c>
      <c r="M336" s="22">
        <v>130</v>
      </c>
      <c r="N336" s="22">
        <v>304</v>
      </c>
      <c r="O336" s="22">
        <v>709</v>
      </c>
      <c r="P336" s="22">
        <v>1587.38</v>
      </c>
      <c r="Q336" s="21">
        <f>K336+N336</f>
        <v>591</v>
      </c>
      <c r="R336" s="21">
        <f>G336+H336+I336+J336+K336+N336+P336</f>
        <v>2203.38</v>
      </c>
      <c r="S336" s="21">
        <f>L336+M336+O336</f>
        <v>1549</v>
      </c>
      <c r="T336" s="21">
        <f>F336-R336</f>
        <v>7796.62</v>
      </c>
      <c r="U336" s="24" t="s">
        <v>36</v>
      </c>
    </row>
    <row r="337" spans="1:22" ht="15.75" customHeight="1">
      <c r="A337" s="19">
        <v>322</v>
      </c>
      <c r="B337" s="23" t="s">
        <v>419</v>
      </c>
      <c r="C337" s="23" t="s">
        <v>51</v>
      </c>
      <c r="D337" s="23" t="s">
        <v>52</v>
      </c>
      <c r="E337" s="24" t="s">
        <v>29</v>
      </c>
      <c r="F337" s="21">
        <v>25000</v>
      </c>
      <c r="G337" s="22">
        <v>0</v>
      </c>
      <c r="H337" s="22">
        <v>25</v>
      </c>
      <c r="I337" s="22">
        <v>0</v>
      </c>
      <c r="J337" s="22">
        <v>0</v>
      </c>
      <c r="K337" s="22">
        <f>F337*2.87%</f>
        <v>717.5</v>
      </c>
      <c r="L337" s="22">
        <f>F337*7.1%</f>
        <v>1774.9999999999998</v>
      </c>
      <c r="M337" s="22">
        <v>325</v>
      </c>
      <c r="N337" s="22">
        <v>760</v>
      </c>
      <c r="O337" s="22">
        <v>1772.5</v>
      </c>
      <c r="P337" s="22">
        <v>0</v>
      </c>
      <c r="Q337" s="21">
        <f>K337+N337</f>
        <v>1477.5</v>
      </c>
      <c r="R337" s="21">
        <f>G337+H337+I337+J337+K337+N337+P337</f>
        <v>1502.5</v>
      </c>
      <c r="S337" s="21">
        <f>L337+M337+O337</f>
        <v>3872.5</v>
      </c>
      <c r="T337" s="21">
        <f>F337-R337</f>
        <v>23497.5</v>
      </c>
      <c r="U337" s="24" t="s">
        <v>30</v>
      </c>
    </row>
    <row r="338" spans="1:22" ht="15.75" customHeight="1">
      <c r="A338" s="23">
        <v>323</v>
      </c>
      <c r="B338" s="23" t="s">
        <v>420</v>
      </c>
      <c r="C338" s="23" t="s">
        <v>63</v>
      </c>
      <c r="D338" s="23" t="s">
        <v>98</v>
      </c>
      <c r="E338" s="24" t="s">
        <v>29</v>
      </c>
      <c r="F338" s="21">
        <v>30000</v>
      </c>
      <c r="G338" s="22">
        <v>0</v>
      </c>
      <c r="H338" s="22">
        <v>25</v>
      </c>
      <c r="I338" s="22">
        <v>0</v>
      </c>
      <c r="J338" s="22">
        <f>700+300+7435.87+2319.35</f>
        <v>10755.22</v>
      </c>
      <c r="K338" s="22">
        <f>F338*2.87%</f>
        <v>861</v>
      </c>
      <c r="L338" s="22">
        <f>F338*7.1%</f>
        <v>2130</v>
      </c>
      <c r="M338" s="22">
        <v>390</v>
      </c>
      <c r="N338" s="22">
        <v>912</v>
      </c>
      <c r="O338" s="22">
        <v>2127</v>
      </c>
      <c r="P338" s="21">
        <v>0</v>
      </c>
      <c r="Q338" s="21">
        <f>K338+N338</f>
        <v>1773</v>
      </c>
      <c r="R338" s="21">
        <f>G338+H338+I338+J338+K338+N338+P338</f>
        <v>12553.22</v>
      </c>
      <c r="S338" s="21">
        <f>L338+M338+O338</f>
        <v>4647</v>
      </c>
      <c r="T338" s="21">
        <f>F338-R338</f>
        <v>17446.78</v>
      </c>
      <c r="U338" s="24" t="s">
        <v>30</v>
      </c>
      <c r="V338" s="29"/>
    </row>
    <row r="339" spans="1:22" ht="15.75" customHeight="1">
      <c r="A339" s="23">
        <v>324</v>
      </c>
      <c r="B339" s="23" t="s">
        <v>421</v>
      </c>
      <c r="C339" s="23" t="s">
        <v>63</v>
      </c>
      <c r="D339" s="23" t="s">
        <v>98</v>
      </c>
      <c r="E339" s="24" t="s">
        <v>29</v>
      </c>
      <c r="F339" s="21">
        <v>30000</v>
      </c>
      <c r="G339" s="22">
        <v>0</v>
      </c>
      <c r="H339" s="22">
        <v>25</v>
      </c>
      <c r="I339" s="22">
        <v>0</v>
      </c>
      <c r="J339" s="22">
        <f>1000+300+7779.68+11120.6</f>
        <v>20200.28</v>
      </c>
      <c r="K339" s="22">
        <f>F339*2.87%</f>
        <v>861</v>
      </c>
      <c r="L339" s="22">
        <f>F339*7.1%</f>
        <v>2130</v>
      </c>
      <c r="M339" s="22">
        <v>390</v>
      </c>
      <c r="N339" s="22">
        <v>912</v>
      </c>
      <c r="O339" s="22">
        <v>2127</v>
      </c>
      <c r="P339" s="22">
        <v>0</v>
      </c>
      <c r="Q339" s="21">
        <f>K339+N339</f>
        <v>1773</v>
      </c>
      <c r="R339" s="21">
        <f>G339+H339+I339+J339+K339+N339+P339</f>
        <v>21998.28</v>
      </c>
      <c r="S339" s="21">
        <f>L339+M339+O339</f>
        <v>4647</v>
      </c>
      <c r="T339" s="21">
        <f>F339-R339</f>
        <v>8001.7200000000012</v>
      </c>
      <c r="U339" s="24" t="s">
        <v>30</v>
      </c>
    </row>
    <row r="340" spans="1:22" ht="15.75" customHeight="1">
      <c r="A340" s="19">
        <v>325</v>
      </c>
      <c r="B340" s="23" t="s">
        <v>422</v>
      </c>
      <c r="C340" s="23" t="s">
        <v>57</v>
      </c>
      <c r="D340" s="23" t="s">
        <v>58</v>
      </c>
      <c r="E340" s="24" t="s">
        <v>29</v>
      </c>
      <c r="F340" s="21">
        <v>15000</v>
      </c>
      <c r="G340" s="22">
        <v>0</v>
      </c>
      <c r="H340" s="22">
        <v>25</v>
      </c>
      <c r="I340" s="22">
        <v>0</v>
      </c>
      <c r="J340" s="22">
        <f>1000+300+1277.61</f>
        <v>2577.6099999999997</v>
      </c>
      <c r="K340" s="22">
        <f>F340*2.87%</f>
        <v>430.5</v>
      </c>
      <c r="L340" s="22">
        <f>F340*7.1%</f>
        <v>1065</v>
      </c>
      <c r="M340" s="22">
        <v>195</v>
      </c>
      <c r="N340" s="22">
        <v>456</v>
      </c>
      <c r="O340" s="22">
        <v>1063.5</v>
      </c>
      <c r="P340" s="22">
        <v>0</v>
      </c>
      <c r="Q340" s="21">
        <f>K340+N340</f>
        <v>886.5</v>
      </c>
      <c r="R340" s="21">
        <f>G340+H340+I340+J340+K340+N340+P340</f>
        <v>3489.1099999999997</v>
      </c>
      <c r="S340" s="21">
        <f>L340+M340+O340</f>
        <v>2323.5</v>
      </c>
      <c r="T340" s="21">
        <f>F340-R340</f>
        <v>11510.89</v>
      </c>
      <c r="U340" s="24" t="s">
        <v>30</v>
      </c>
    </row>
    <row r="341" spans="1:22" ht="15.75" customHeight="1">
      <c r="A341" s="23">
        <v>326</v>
      </c>
      <c r="B341" s="23" t="s">
        <v>423</v>
      </c>
      <c r="C341" s="23" t="s">
        <v>88</v>
      </c>
      <c r="D341" s="23" t="s">
        <v>61</v>
      </c>
      <c r="E341" s="24" t="s">
        <v>29</v>
      </c>
      <c r="F341" s="21">
        <v>15000</v>
      </c>
      <c r="G341" s="22">
        <v>0</v>
      </c>
      <c r="H341" s="22">
        <v>25</v>
      </c>
      <c r="I341" s="22">
        <v>1363.02</v>
      </c>
      <c r="J341" s="22">
        <f>300+300+1680.5+8611.25</f>
        <v>10891.75</v>
      </c>
      <c r="K341" s="22">
        <f>F341*2.87%</f>
        <v>430.5</v>
      </c>
      <c r="L341" s="22">
        <f>F341*7.1%</f>
        <v>1065</v>
      </c>
      <c r="M341" s="22">
        <v>195</v>
      </c>
      <c r="N341" s="22">
        <v>456</v>
      </c>
      <c r="O341" s="22">
        <v>1063.5</v>
      </c>
      <c r="P341" s="22">
        <v>0</v>
      </c>
      <c r="Q341" s="21">
        <f>K341+N341</f>
        <v>886.5</v>
      </c>
      <c r="R341" s="21">
        <f>G341+H341+I341+J341+K341+N341+P341</f>
        <v>13166.27</v>
      </c>
      <c r="S341" s="21">
        <f>L341+M341+O341</f>
        <v>2323.5</v>
      </c>
      <c r="T341" s="21">
        <f>F341-R341</f>
        <v>1833.7299999999996</v>
      </c>
      <c r="U341" s="24" t="s">
        <v>30</v>
      </c>
    </row>
    <row r="342" spans="1:22" ht="15.75" customHeight="1">
      <c r="A342" s="23">
        <v>327</v>
      </c>
      <c r="B342" s="23" t="s">
        <v>424</v>
      </c>
      <c r="C342" s="23" t="s">
        <v>88</v>
      </c>
      <c r="D342" s="23" t="s">
        <v>98</v>
      </c>
      <c r="E342" s="24" t="s">
        <v>29</v>
      </c>
      <c r="F342" s="21">
        <v>10000</v>
      </c>
      <c r="G342" s="22">
        <v>0</v>
      </c>
      <c r="H342" s="22">
        <v>25</v>
      </c>
      <c r="I342" s="22">
        <v>0</v>
      </c>
      <c r="J342" s="22">
        <f>1000+923.43</f>
        <v>1923.4299999999998</v>
      </c>
      <c r="K342" s="22">
        <f>F342*2.87%</f>
        <v>287</v>
      </c>
      <c r="L342" s="22">
        <f>F342*7.1%</f>
        <v>709.99999999999989</v>
      </c>
      <c r="M342" s="22">
        <v>130</v>
      </c>
      <c r="N342" s="22">
        <v>304</v>
      </c>
      <c r="O342" s="22">
        <v>709</v>
      </c>
      <c r="P342" s="22">
        <v>0</v>
      </c>
      <c r="Q342" s="21">
        <f>K342+N342</f>
        <v>591</v>
      </c>
      <c r="R342" s="21">
        <f>G342+H342+I342+J342+K342+N342+P342</f>
        <v>2539.4299999999998</v>
      </c>
      <c r="S342" s="21">
        <f>L342+M342+O342</f>
        <v>1549</v>
      </c>
      <c r="T342" s="21">
        <f>F342-R342</f>
        <v>7460.57</v>
      </c>
      <c r="U342" s="24" t="s">
        <v>30</v>
      </c>
    </row>
    <row r="343" spans="1:22" ht="15.75" customHeight="1">
      <c r="A343" s="19">
        <v>328</v>
      </c>
      <c r="B343" s="23" t="s">
        <v>425</v>
      </c>
      <c r="C343" s="23" t="s">
        <v>51</v>
      </c>
      <c r="D343" s="23" t="s">
        <v>52</v>
      </c>
      <c r="E343" s="24" t="s">
        <v>29</v>
      </c>
      <c r="F343" s="21">
        <v>12000</v>
      </c>
      <c r="G343" s="22">
        <v>0</v>
      </c>
      <c r="H343" s="22">
        <v>25</v>
      </c>
      <c r="I343" s="22">
        <v>0</v>
      </c>
      <c r="J343" s="22">
        <v>0</v>
      </c>
      <c r="K343" s="22">
        <f>F343*2.87%</f>
        <v>344.4</v>
      </c>
      <c r="L343" s="22">
        <f>F343*7.1%</f>
        <v>851.99999999999989</v>
      </c>
      <c r="M343" s="22">
        <v>156</v>
      </c>
      <c r="N343" s="22">
        <v>364.8</v>
      </c>
      <c r="O343" s="22">
        <v>850.80000000000007</v>
      </c>
      <c r="P343" s="22">
        <v>0</v>
      </c>
      <c r="Q343" s="21">
        <f>K343+N343</f>
        <v>709.2</v>
      </c>
      <c r="R343" s="21">
        <f>G343+H343+I343+J343+K343+N343+P343</f>
        <v>734.2</v>
      </c>
      <c r="S343" s="21">
        <f>L343+M343+O343</f>
        <v>1858.8</v>
      </c>
      <c r="T343" s="21">
        <f>F343-R343</f>
        <v>11265.8</v>
      </c>
      <c r="U343" s="24" t="s">
        <v>30</v>
      </c>
    </row>
    <row r="344" spans="1:22" ht="15.75" customHeight="1">
      <c r="A344" s="23">
        <v>329</v>
      </c>
      <c r="B344" s="23" t="s">
        <v>426</v>
      </c>
      <c r="C344" s="23" t="s">
        <v>63</v>
      </c>
      <c r="D344" s="23" t="s">
        <v>98</v>
      </c>
      <c r="E344" s="24" t="s">
        <v>29</v>
      </c>
      <c r="F344" s="21">
        <v>20000</v>
      </c>
      <c r="G344" s="22">
        <v>0</v>
      </c>
      <c r="H344" s="22">
        <v>25</v>
      </c>
      <c r="I344" s="22">
        <v>0</v>
      </c>
      <c r="J344" s="22">
        <v>0</v>
      </c>
      <c r="K344" s="22">
        <f>F344*2.87%</f>
        <v>574</v>
      </c>
      <c r="L344" s="22">
        <f>F344*7.1%</f>
        <v>1419.9999999999998</v>
      </c>
      <c r="M344" s="22">
        <v>260</v>
      </c>
      <c r="N344" s="22">
        <v>608</v>
      </c>
      <c r="O344" s="22">
        <v>1418</v>
      </c>
      <c r="P344" s="22">
        <v>0</v>
      </c>
      <c r="Q344" s="21">
        <f>K344+N344</f>
        <v>1182</v>
      </c>
      <c r="R344" s="21">
        <f>G344+H344+I344+J344+K344+N344+P344</f>
        <v>1207</v>
      </c>
      <c r="S344" s="21">
        <f>L344+M344+O344</f>
        <v>3098</v>
      </c>
      <c r="T344" s="21">
        <f>F344-R344</f>
        <v>18793</v>
      </c>
      <c r="U344" s="24" t="s">
        <v>30</v>
      </c>
    </row>
    <row r="345" spans="1:22" ht="15.75" customHeight="1">
      <c r="A345" s="23">
        <v>330</v>
      </c>
      <c r="B345" s="23" t="s">
        <v>427</v>
      </c>
      <c r="C345" s="23" t="s">
        <v>158</v>
      </c>
      <c r="D345" s="23" t="s">
        <v>61</v>
      </c>
      <c r="E345" s="24" t="s">
        <v>29</v>
      </c>
      <c r="F345" s="21">
        <v>28000</v>
      </c>
      <c r="G345" s="22">
        <v>0</v>
      </c>
      <c r="H345" s="22">
        <v>25</v>
      </c>
      <c r="I345" s="22">
        <v>0</v>
      </c>
      <c r="J345" s="22">
        <v>0</v>
      </c>
      <c r="K345" s="22">
        <f>F345*2.87%</f>
        <v>803.6</v>
      </c>
      <c r="L345" s="22">
        <f>F345*7.1%</f>
        <v>1987.9999999999998</v>
      </c>
      <c r="M345" s="22">
        <v>364</v>
      </c>
      <c r="N345" s="22">
        <v>851.2</v>
      </c>
      <c r="O345" s="22">
        <v>1985.2</v>
      </c>
      <c r="P345" s="22">
        <v>0</v>
      </c>
      <c r="Q345" s="21">
        <f>K345+N345</f>
        <v>1654.8000000000002</v>
      </c>
      <c r="R345" s="21">
        <f>G345+H345+I345+J345+K345+N345+P345</f>
        <v>1679.8000000000002</v>
      </c>
      <c r="S345" s="21">
        <f>L345+M345+O345</f>
        <v>4337.2</v>
      </c>
      <c r="T345" s="21">
        <f>F345-R345</f>
        <v>26320.2</v>
      </c>
      <c r="U345" s="24" t="s">
        <v>30</v>
      </c>
    </row>
    <row r="346" spans="1:22" ht="15.75" customHeight="1">
      <c r="A346" s="19">
        <v>331</v>
      </c>
      <c r="B346" s="23" t="s">
        <v>428</v>
      </c>
      <c r="C346" s="23" t="s">
        <v>88</v>
      </c>
      <c r="D346" s="23" t="s">
        <v>58</v>
      </c>
      <c r="E346" s="24" t="s">
        <v>29</v>
      </c>
      <c r="F346" s="21">
        <v>12000</v>
      </c>
      <c r="G346" s="22">
        <v>0</v>
      </c>
      <c r="H346" s="22">
        <v>25</v>
      </c>
      <c r="I346" s="22">
        <v>0</v>
      </c>
      <c r="J346" s="22">
        <v>0</v>
      </c>
      <c r="K346" s="22">
        <f>F346*2.87%</f>
        <v>344.4</v>
      </c>
      <c r="L346" s="22">
        <f>F346*7.1%</f>
        <v>851.99999999999989</v>
      </c>
      <c r="M346" s="22">
        <v>156</v>
      </c>
      <c r="N346" s="22">
        <v>364.8</v>
      </c>
      <c r="O346" s="22">
        <v>850.80000000000007</v>
      </c>
      <c r="P346" s="22">
        <v>0</v>
      </c>
      <c r="Q346" s="21">
        <f>K346+N346</f>
        <v>709.2</v>
      </c>
      <c r="R346" s="21">
        <f>G346+H346+I346+J346+K346+N346+P346</f>
        <v>734.2</v>
      </c>
      <c r="S346" s="21">
        <f>L346+M346+O346</f>
        <v>1858.8</v>
      </c>
      <c r="T346" s="21">
        <f>F346-R346</f>
        <v>11265.8</v>
      </c>
      <c r="U346" s="24" t="s">
        <v>30</v>
      </c>
    </row>
    <row r="347" spans="1:22" ht="15.75" customHeight="1">
      <c r="A347" s="23">
        <v>332</v>
      </c>
      <c r="B347" s="23" t="s">
        <v>429</v>
      </c>
      <c r="C347" s="23" t="s">
        <v>48</v>
      </c>
      <c r="D347" s="23" t="s">
        <v>55</v>
      </c>
      <c r="E347" s="24" t="s">
        <v>29</v>
      </c>
      <c r="F347" s="21">
        <v>15000</v>
      </c>
      <c r="G347" s="22">
        <v>0</v>
      </c>
      <c r="H347" s="22">
        <v>25</v>
      </c>
      <c r="I347" s="22">
        <v>0</v>
      </c>
      <c r="J347" s="22">
        <f>700+300+4556.38</f>
        <v>5556.38</v>
      </c>
      <c r="K347" s="22">
        <f>F347*2.87%</f>
        <v>430.5</v>
      </c>
      <c r="L347" s="22">
        <f>F347*7.1%</f>
        <v>1065</v>
      </c>
      <c r="M347" s="22">
        <v>195</v>
      </c>
      <c r="N347" s="22">
        <v>456</v>
      </c>
      <c r="O347" s="22">
        <v>1063.5</v>
      </c>
      <c r="P347" s="22">
        <v>0</v>
      </c>
      <c r="Q347" s="21">
        <f>K347+N347</f>
        <v>886.5</v>
      </c>
      <c r="R347" s="21">
        <f>G347+H347+I347+J347+K347+N347+P347</f>
        <v>6467.88</v>
      </c>
      <c r="S347" s="21">
        <f>L347+M347+O347</f>
        <v>2323.5</v>
      </c>
      <c r="T347" s="21">
        <f>F347-R347</f>
        <v>8532.119999999999</v>
      </c>
      <c r="U347" s="24" t="s">
        <v>36</v>
      </c>
    </row>
    <row r="348" spans="1:22" ht="15.75" customHeight="1">
      <c r="A348" s="23">
        <v>333</v>
      </c>
      <c r="B348" s="23" t="s">
        <v>430</v>
      </c>
      <c r="C348" s="23" t="s">
        <v>48</v>
      </c>
      <c r="D348" s="23" t="s">
        <v>86</v>
      </c>
      <c r="E348" s="24" t="s">
        <v>29</v>
      </c>
      <c r="F348" s="21">
        <v>25000</v>
      </c>
      <c r="G348" s="22">
        <v>0</v>
      </c>
      <c r="H348" s="22">
        <v>25</v>
      </c>
      <c r="I348" s="22">
        <v>0</v>
      </c>
      <c r="J348" s="22">
        <v>0</v>
      </c>
      <c r="K348" s="22">
        <f>F348*2.87%</f>
        <v>717.5</v>
      </c>
      <c r="L348" s="22">
        <f>F348*7.1%</f>
        <v>1774.9999999999998</v>
      </c>
      <c r="M348" s="22">
        <v>325</v>
      </c>
      <c r="N348" s="22">
        <v>760</v>
      </c>
      <c r="O348" s="22">
        <v>1772.5000000000002</v>
      </c>
      <c r="P348" s="22">
        <v>0</v>
      </c>
      <c r="Q348" s="21">
        <f>K348+N348</f>
        <v>1477.5</v>
      </c>
      <c r="R348" s="21">
        <f>G348+H348+I348+J348+K348+N348+P348</f>
        <v>1502.5</v>
      </c>
      <c r="S348" s="21">
        <f>L348+M348+O348</f>
        <v>3872.5</v>
      </c>
      <c r="T348" s="21">
        <f>F348-R348</f>
        <v>23497.5</v>
      </c>
      <c r="U348" s="24" t="s">
        <v>36</v>
      </c>
    </row>
    <row r="349" spans="1:22" ht="15.75" customHeight="1">
      <c r="A349" s="19">
        <v>334</v>
      </c>
      <c r="B349" s="23" t="s">
        <v>431</v>
      </c>
      <c r="C349" s="23" t="s">
        <v>358</v>
      </c>
      <c r="D349" s="23" t="s">
        <v>78</v>
      </c>
      <c r="E349" s="24" t="s">
        <v>29</v>
      </c>
      <c r="F349" s="21">
        <v>18000</v>
      </c>
      <c r="G349" s="22">
        <v>0</v>
      </c>
      <c r="H349" s="22">
        <v>25</v>
      </c>
      <c r="I349" s="22">
        <v>0</v>
      </c>
      <c r="J349" s="22">
        <v>0</v>
      </c>
      <c r="K349" s="22">
        <f>F349*2.87%</f>
        <v>516.6</v>
      </c>
      <c r="L349" s="22">
        <f>F349*7.1%</f>
        <v>1277.9999999999998</v>
      </c>
      <c r="M349" s="22">
        <v>234</v>
      </c>
      <c r="N349" s="22">
        <v>547.20000000000005</v>
      </c>
      <c r="O349" s="22">
        <v>1276.2</v>
      </c>
      <c r="P349" s="22">
        <v>0</v>
      </c>
      <c r="Q349" s="21">
        <f>K349+N349</f>
        <v>1063.8000000000002</v>
      </c>
      <c r="R349" s="21">
        <f>G349+H349+I349+J349+K349+N349+P349</f>
        <v>1088.8000000000002</v>
      </c>
      <c r="S349" s="21">
        <f>L349+M349+O349</f>
        <v>2788.2</v>
      </c>
      <c r="T349" s="21">
        <f>F349-R349</f>
        <v>16911.2</v>
      </c>
      <c r="U349" s="24" t="s">
        <v>30</v>
      </c>
    </row>
    <row r="350" spans="1:22" ht="15.75" customHeight="1">
      <c r="A350" s="23">
        <v>335</v>
      </c>
      <c r="B350" s="23" t="s">
        <v>432</v>
      </c>
      <c r="C350" s="23" t="s">
        <v>48</v>
      </c>
      <c r="D350" s="23" t="s">
        <v>433</v>
      </c>
      <c r="E350" s="24" t="s">
        <v>29</v>
      </c>
      <c r="F350" s="21">
        <v>20000</v>
      </c>
      <c r="G350" s="22">
        <v>0</v>
      </c>
      <c r="H350" s="22">
        <v>25</v>
      </c>
      <c r="I350" s="22">
        <v>0</v>
      </c>
      <c r="J350" s="22">
        <v>0</v>
      </c>
      <c r="K350" s="22">
        <f>F350*2.87%</f>
        <v>574</v>
      </c>
      <c r="L350" s="22">
        <f>F350*7.1%</f>
        <v>1419.9999999999998</v>
      </c>
      <c r="M350" s="22">
        <v>260</v>
      </c>
      <c r="N350" s="22">
        <v>608</v>
      </c>
      <c r="O350" s="22">
        <v>1418</v>
      </c>
      <c r="P350" s="22">
        <v>0</v>
      </c>
      <c r="Q350" s="21">
        <f>K350+N350</f>
        <v>1182</v>
      </c>
      <c r="R350" s="21">
        <f>G350+H350+I350+J350+K350+N350+P350</f>
        <v>1207</v>
      </c>
      <c r="S350" s="21">
        <f>L350+M350+O350</f>
        <v>3098</v>
      </c>
      <c r="T350" s="21">
        <f>F350-R350</f>
        <v>18793</v>
      </c>
      <c r="U350" s="24" t="s">
        <v>36</v>
      </c>
    </row>
    <row r="351" spans="1:22" ht="15.75" customHeight="1">
      <c r="A351" s="23">
        <v>336</v>
      </c>
      <c r="B351" s="23" t="s">
        <v>434</v>
      </c>
      <c r="C351" s="23" t="s">
        <v>146</v>
      </c>
      <c r="D351" s="23" t="s">
        <v>81</v>
      </c>
      <c r="E351" s="24" t="s">
        <v>29</v>
      </c>
      <c r="F351" s="21">
        <v>12376.75</v>
      </c>
      <c r="G351" s="22">
        <v>0</v>
      </c>
      <c r="H351" s="22">
        <v>25</v>
      </c>
      <c r="I351" s="22">
        <v>0</v>
      </c>
      <c r="J351" s="22">
        <f>500+300+1085.77</f>
        <v>1885.77</v>
      </c>
      <c r="K351" s="22">
        <f>F351*2.87%</f>
        <v>355.21272499999998</v>
      </c>
      <c r="L351" s="22">
        <f>F351*7.1%</f>
        <v>878.74924999999996</v>
      </c>
      <c r="M351" s="22">
        <v>160.9</v>
      </c>
      <c r="N351" s="22">
        <v>376.25319999999999</v>
      </c>
      <c r="O351" s="22">
        <v>877.51157500000011</v>
      </c>
      <c r="P351" s="22">
        <v>0</v>
      </c>
      <c r="Q351" s="21">
        <f>K351+N351</f>
        <v>731.46592499999997</v>
      </c>
      <c r="R351" s="21">
        <f>G351+H351+I351+J351+K351+N351+P351</f>
        <v>2642.235925</v>
      </c>
      <c r="S351" s="21">
        <f>L351+M351+O351</f>
        <v>1917.1608249999999</v>
      </c>
      <c r="T351" s="21">
        <f>F351-R351</f>
        <v>9734.5140749999991</v>
      </c>
      <c r="U351" s="24" t="s">
        <v>36</v>
      </c>
    </row>
    <row r="352" spans="1:22" ht="15.75" customHeight="1">
      <c r="A352" s="19">
        <v>337</v>
      </c>
      <c r="B352" s="23" t="s">
        <v>435</v>
      </c>
      <c r="C352" s="23" t="s">
        <v>48</v>
      </c>
      <c r="D352" s="23" t="s">
        <v>86</v>
      </c>
      <c r="E352" s="24" t="s">
        <v>29</v>
      </c>
      <c r="F352" s="21">
        <v>30000</v>
      </c>
      <c r="G352" s="22">
        <v>0</v>
      </c>
      <c r="H352" s="22">
        <v>25</v>
      </c>
      <c r="I352" s="22">
        <v>0</v>
      </c>
      <c r="J352" s="22">
        <v>0</v>
      </c>
      <c r="K352" s="22">
        <f>F352*2.87%</f>
        <v>861</v>
      </c>
      <c r="L352" s="22">
        <f>F352*7.1%</f>
        <v>2130</v>
      </c>
      <c r="M352" s="22">
        <v>390</v>
      </c>
      <c r="N352" s="22">
        <v>912</v>
      </c>
      <c r="O352" s="22">
        <v>2127</v>
      </c>
      <c r="P352" s="22">
        <v>1587.38</v>
      </c>
      <c r="Q352" s="21">
        <f>K352+N352</f>
        <v>1773</v>
      </c>
      <c r="R352" s="21">
        <f>G352+H352+I352+J352+K352+N352+P352</f>
        <v>3385.38</v>
      </c>
      <c r="S352" s="21">
        <f>L352+M352+O352</f>
        <v>4647</v>
      </c>
      <c r="T352" s="21">
        <f>F352-R352</f>
        <v>26614.62</v>
      </c>
      <c r="U352" s="24" t="s">
        <v>36</v>
      </c>
    </row>
    <row r="353" spans="1:21" ht="15.75" customHeight="1">
      <c r="A353" s="23">
        <v>338</v>
      </c>
      <c r="B353" s="23" t="s">
        <v>436</v>
      </c>
      <c r="C353" s="23" t="s">
        <v>66</v>
      </c>
      <c r="D353" s="23" t="s">
        <v>72</v>
      </c>
      <c r="E353" s="24" t="s">
        <v>29</v>
      </c>
      <c r="F353" s="21">
        <v>12000</v>
      </c>
      <c r="G353" s="22">
        <v>0</v>
      </c>
      <c r="H353" s="22">
        <v>25</v>
      </c>
      <c r="I353" s="22">
        <v>0</v>
      </c>
      <c r="J353" s="22">
        <v>0</v>
      </c>
      <c r="K353" s="22">
        <f>F353*2.87%</f>
        <v>344.4</v>
      </c>
      <c r="L353" s="22">
        <f>F353*7.1%</f>
        <v>851.99999999999989</v>
      </c>
      <c r="M353" s="22">
        <v>156</v>
      </c>
      <c r="N353" s="22">
        <v>364.8</v>
      </c>
      <c r="O353" s="22">
        <v>850.80000000000007</v>
      </c>
      <c r="P353" s="22">
        <v>0</v>
      </c>
      <c r="Q353" s="21">
        <f>K353+N353</f>
        <v>709.2</v>
      </c>
      <c r="R353" s="21">
        <f>G353+H353+I353+J353+K353+N353+P353</f>
        <v>734.2</v>
      </c>
      <c r="S353" s="21">
        <f>L353+M353+O353</f>
        <v>1858.8</v>
      </c>
      <c r="T353" s="21">
        <f>F353-R353</f>
        <v>11265.8</v>
      </c>
      <c r="U353" s="24" t="s">
        <v>36</v>
      </c>
    </row>
    <row r="354" spans="1:21" ht="15.75" customHeight="1">
      <c r="A354" s="23">
        <v>339</v>
      </c>
      <c r="B354" s="23" t="s">
        <v>437</v>
      </c>
      <c r="C354" s="23" t="s">
        <v>71</v>
      </c>
      <c r="D354" s="23" t="s">
        <v>72</v>
      </c>
      <c r="E354" s="24" t="s">
        <v>29</v>
      </c>
      <c r="F354" s="21">
        <v>15000</v>
      </c>
      <c r="G354" s="22">
        <v>0</v>
      </c>
      <c r="H354" s="22">
        <v>25</v>
      </c>
      <c r="I354" s="22">
        <v>0</v>
      </c>
      <c r="J354" s="22">
        <v>0</v>
      </c>
      <c r="K354" s="22">
        <f>F354*2.87%</f>
        <v>430.5</v>
      </c>
      <c r="L354" s="22">
        <f>F354*7.1%</f>
        <v>1065</v>
      </c>
      <c r="M354" s="22">
        <v>195</v>
      </c>
      <c r="N354" s="22">
        <v>456</v>
      </c>
      <c r="O354" s="22">
        <v>1063.5</v>
      </c>
      <c r="P354" s="21">
        <v>0</v>
      </c>
      <c r="Q354" s="21">
        <f>K354+N354</f>
        <v>886.5</v>
      </c>
      <c r="R354" s="21">
        <f>G354+H354+I354+J354+K354+N354+P354</f>
        <v>911.5</v>
      </c>
      <c r="S354" s="21">
        <f>L354+M354+O354</f>
        <v>2323.5</v>
      </c>
      <c r="T354" s="21">
        <f>F354-R354</f>
        <v>14088.5</v>
      </c>
      <c r="U354" s="24" t="s">
        <v>36</v>
      </c>
    </row>
    <row r="355" spans="1:21" ht="15.75" customHeight="1">
      <c r="A355" s="19">
        <v>340</v>
      </c>
      <c r="B355" s="23" t="s">
        <v>438</v>
      </c>
      <c r="C355" s="23" t="s">
        <v>68</v>
      </c>
      <c r="D355" s="23" t="s">
        <v>69</v>
      </c>
      <c r="E355" s="24" t="s">
        <v>29</v>
      </c>
      <c r="F355" s="21">
        <v>20000</v>
      </c>
      <c r="G355" s="22">
        <v>0</v>
      </c>
      <c r="H355" s="22">
        <v>25</v>
      </c>
      <c r="I355" s="22">
        <v>0</v>
      </c>
      <c r="J355" s="22">
        <v>0</v>
      </c>
      <c r="K355" s="22">
        <f>F355*2.87%</f>
        <v>574</v>
      </c>
      <c r="L355" s="22">
        <f>F355*7.1%</f>
        <v>1419.9999999999998</v>
      </c>
      <c r="M355" s="22">
        <v>260</v>
      </c>
      <c r="N355" s="22">
        <v>608</v>
      </c>
      <c r="O355" s="22">
        <v>1418</v>
      </c>
      <c r="P355" s="22">
        <v>0</v>
      </c>
      <c r="Q355" s="21">
        <f>K355+N355</f>
        <v>1182</v>
      </c>
      <c r="R355" s="21">
        <f>G355+H355+I355+J355+K355+N355+P355</f>
        <v>1207</v>
      </c>
      <c r="S355" s="21">
        <f>L355+M355+O355</f>
        <v>3098</v>
      </c>
      <c r="T355" s="21">
        <f>F355-R355</f>
        <v>18793</v>
      </c>
      <c r="U355" s="24" t="s">
        <v>36</v>
      </c>
    </row>
    <row r="356" spans="1:21" ht="15.75" customHeight="1">
      <c r="A356" s="23">
        <v>341</v>
      </c>
      <c r="B356" s="23" t="s">
        <v>439</v>
      </c>
      <c r="C356" s="23" t="s">
        <v>176</v>
      </c>
      <c r="D356" s="23" t="s">
        <v>61</v>
      </c>
      <c r="E356" s="24" t="s">
        <v>29</v>
      </c>
      <c r="F356" s="21">
        <v>15000</v>
      </c>
      <c r="G356" s="22">
        <v>0</v>
      </c>
      <c r="H356" s="22">
        <v>25</v>
      </c>
      <c r="I356" s="22">
        <v>0</v>
      </c>
      <c r="J356" s="22">
        <f>500+300+3397.96</f>
        <v>4197.96</v>
      </c>
      <c r="K356" s="22">
        <f>F356*2.87%</f>
        <v>430.5</v>
      </c>
      <c r="L356" s="22">
        <f>F356*7.1%</f>
        <v>1065</v>
      </c>
      <c r="M356" s="22">
        <v>195</v>
      </c>
      <c r="N356" s="22">
        <v>456</v>
      </c>
      <c r="O356" s="22">
        <v>1063.5</v>
      </c>
      <c r="P356" s="22">
        <v>0</v>
      </c>
      <c r="Q356" s="21">
        <f>K356+N356</f>
        <v>886.5</v>
      </c>
      <c r="R356" s="21">
        <f>G356+H356+I356+J356+K356+N356+P356</f>
        <v>5109.46</v>
      </c>
      <c r="S356" s="21">
        <f>L356+M356+O356</f>
        <v>2323.5</v>
      </c>
      <c r="T356" s="21">
        <f>F356-R356</f>
        <v>9890.5400000000009</v>
      </c>
      <c r="U356" s="24" t="s">
        <v>30</v>
      </c>
    </row>
    <row r="357" spans="1:21" ht="15.75" customHeight="1">
      <c r="A357" s="23">
        <v>342</v>
      </c>
      <c r="B357" s="23" t="s">
        <v>440</v>
      </c>
      <c r="C357" s="23" t="s">
        <v>63</v>
      </c>
      <c r="D357" s="23" t="s">
        <v>98</v>
      </c>
      <c r="E357" s="24" t="s">
        <v>29</v>
      </c>
      <c r="F357" s="21">
        <v>30000</v>
      </c>
      <c r="G357" s="22">
        <v>0</v>
      </c>
      <c r="H357" s="22">
        <v>25</v>
      </c>
      <c r="I357" s="22">
        <v>0</v>
      </c>
      <c r="J357" s="22">
        <f>1700+300+2219.61+4955.9</f>
        <v>9175.51</v>
      </c>
      <c r="K357" s="22">
        <f>F357*2.87%</f>
        <v>861</v>
      </c>
      <c r="L357" s="22">
        <f>F357*7.1%</f>
        <v>2130</v>
      </c>
      <c r="M357" s="22">
        <v>390</v>
      </c>
      <c r="N357" s="22">
        <v>912</v>
      </c>
      <c r="O357" s="22">
        <v>2127</v>
      </c>
      <c r="P357" s="22">
        <v>0</v>
      </c>
      <c r="Q357" s="21">
        <f>K357+N357</f>
        <v>1773</v>
      </c>
      <c r="R357" s="21">
        <f>G357+H357+I357+J357+K357+N357+P357</f>
        <v>10973.51</v>
      </c>
      <c r="S357" s="21">
        <f>L357+M357+O357</f>
        <v>4647</v>
      </c>
      <c r="T357" s="21">
        <f>F357-R357</f>
        <v>19026.489999999998</v>
      </c>
      <c r="U357" s="24" t="s">
        <v>30</v>
      </c>
    </row>
    <row r="358" spans="1:21" ht="15.75" customHeight="1">
      <c r="A358" s="19">
        <v>343</v>
      </c>
      <c r="B358" s="23" t="s">
        <v>441</v>
      </c>
      <c r="C358" s="23" t="s">
        <v>68</v>
      </c>
      <c r="D358" s="23" t="s">
        <v>58</v>
      </c>
      <c r="E358" s="24" t="s">
        <v>29</v>
      </c>
      <c r="F358" s="21">
        <v>20000</v>
      </c>
      <c r="G358" s="22">
        <v>0</v>
      </c>
      <c r="H358" s="22">
        <v>25</v>
      </c>
      <c r="I358" s="22">
        <v>0</v>
      </c>
      <c r="J358" s="22">
        <f>500+300</f>
        <v>800</v>
      </c>
      <c r="K358" s="22">
        <f>F358*2.87%</f>
        <v>574</v>
      </c>
      <c r="L358" s="22">
        <f>F358*7.1%</f>
        <v>1419.9999999999998</v>
      </c>
      <c r="M358" s="22">
        <v>260</v>
      </c>
      <c r="N358" s="22">
        <v>608</v>
      </c>
      <c r="O358" s="22">
        <v>1418</v>
      </c>
      <c r="P358" s="22">
        <v>0</v>
      </c>
      <c r="Q358" s="21">
        <f>K358+N358</f>
        <v>1182</v>
      </c>
      <c r="R358" s="21">
        <f>G358+H358+I358+J358+K358+N358+P358</f>
        <v>2007</v>
      </c>
      <c r="S358" s="21">
        <f>L358+M358+O358</f>
        <v>3098</v>
      </c>
      <c r="T358" s="21">
        <f>F358-R358</f>
        <v>17993</v>
      </c>
      <c r="U358" s="24" t="s">
        <v>36</v>
      </c>
    </row>
    <row r="359" spans="1:21" ht="15.75" customHeight="1">
      <c r="A359" s="23">
        <v>344</v>
      </c>
      <c r="B359" s="23" t="s">
        <v>442</v>
      </c>
      <c r="C359" s="23" t="s">
        <v>135</v>
      </c>
      <c r="D359" s="23" t="s">
        <v>58</v>
      </c>
      <c r="E359" s="24" t="s">
        <v>29</v>
      </c>
      <c r="F359" s="21">
        <v>30000</v>
      </c>
      <c r="G359" s="22">
        <v>0</v>
      </c>
      <c r="H359" s="22">
        <v>25</v>
      </c>
      <c r="I359" s="22">
        <v>0</v>
      </c>
      <c r="J359" s="22">
        <v>0</v>
      </c>
      <c r="K359" s="22">
        <f>F359*2.87%</f>
        <v>861</v>
      </c>
      <c r="L359" s="22">
        <f>F359*7.1%</f>
        <v>2130</v>
      </c>
      <c r="M359" s="22">
        <v>390</v>
      </c>
      <c r="N359" s="22">
        <v>912</v>
      </c>
      <c r="O359" s="22">
        <v>2127</v>
      </c>
      <c r="P359" s="22">
        <v>0</v>
      </c>
      <c r="Q359" s="21">
        <f>K359+N359</f>
        <v>1773</v>
      </c>
      <c r="R359" s="21">
        <f>G359+H359+I359+J359+K359+N359+P359</f>
        <v>1798</v>
      </c>
      <c r="S359" s="21">
        <f>L359+M359+O359</f>
        <v>4647</v>
      </c>
      <c r="T359" s="21">
        <f>F359-R359</f>
        <v>28202</v>
      </c>
      <c r="U359" s="24" t="s">
        <v>36</v>
      </c>
    </row>
    <row r="360" spans="1:21" ht="15.75" customHeight="1">
      <c r="A360" s="23">
        <v>345</v>
      </c>
      <c r="B360" s="23" t="s">
        <v>443</v>
      </c>
      <c r="C360" s="23" t="s">
        <v>57</v>
      </c>
      <c r="D360" s="23" t="s">
        <v>58</v>
      </c>
      <c r="E360" s="24" t="s">
        <v>29</v>
      </c>
      <c r="F360" s="21">
        <v>12000</v>
      </c>
      <c r="G360" s="22">
        <v>0</v>
      </c>
      <c r="H360" s="22">
        <v>25</v>
      </c>
      <c r="I360" s="22">
        <v>0</v>
      </c>
      <c r="J360" s="22">
        <v>0</v>
      </c>
      <c r="K360" s="22">
        <f>F360*2.87%</f>
        <v>344.4</v>
      </c>
      <c r="L360" s="22">
        <f>F360*7.1%</f>
        <v>851.99999999999989</v>
      </c>
      <c r="M360" s="22">
        <v>156</v>
      </c>
      <c r="N360" s="22">
        <v>364.8</v>
      </c>
      <c r="O360" s="22">
        <v>850.80000000000007</v>
      </c>
      <c r="P360" s="22">
        <v>0</v>
      </c>
      <c r="Q360" s="21">
        <f>K360+N360</f>
        <v>709.2</v>
      </c>
      <c r="R360" s="21">
        <f>G360+H360+I360+J360+K360+N360+P360</f>
        <v>734.2</v>
      </c>
      <c r="S360" s="21">
        <f>L360+M360+O360</f>
        <v>1858.8</v>
      </c>
      <c r="T360" s="21">
        <f>F360-R360</f>
        <v>11265.8</v>
      </c>
      <c r="U360" s="24" t="s">
        <v>30</v>
      </c>
    </row>
    <row r="361" spans="1:21" ht="15.75" customHeight="1">
      <c r="A361" s="19">
        <v>346</v>
      </c>
      <c r="B361" s="23" t="s">
        <v>444</v>
      </c>
      <c r="C361" s="23" t="s">
        <v>51</v>
      </c>
      <c r="D361" s="23" t="s">
        <v>52</v>
      </c>
      <c r="E361" s="24" t="s">
        <v>29</v>
      </c>
      <c r="F361" s="21">
        <v>10000</v>
      </c>
      <c r="G361" s="22">
        <v>0</v>
      </c>
      <c r="H361" s="22">
        <v>25</v>
      </c>
      <c r="I361" s="22">
        <v>0</v>
      </c>
      <c r="J361" s="22">
        <v>0</v>
      </c>
      <c r="K361" s="22">
        <f>F361*2.87%</f>
        <v>287</v>
      </c>
      <c r="L361" s="22">
        <f>F361*7.1%</f>
        <v>709.99999999999989</v>
      </c>
      <c r="M361" s="22">
        <v>130</v>
      </c>
      <c r="N361" s="22">
        <v>304</v>
      </c>
      <c r="O361" s="22">
        <v>709</v>
      </c>
      <c r="P361" s="22">
        <v>0</v>
      </c>
      <c r="Q361" s="21">
        <f>K361+N361</f>
        <v>591</v>
      </c>
      <c r="R361" s="21">
        <f>G361+H361+I361+J361+K361+N361+P361</f>
        <v>616</v>
      </c>
      <c r="S361" s="21">
        <f>L361+M361+O361</f>
        <v>1549</v>
      </c>
      <c r="T361" s="21">
        <f>F361-R361</f>
        <v>9384</v>
      </c>
      <c r="U361" s="24" t="s">
        <v>30</v>
      </c>
    </row>
    <row r="362" spans="1:21" ht="15.75" customHeight="1">
      <c r="A362" s="23">
        <v>347</v>
      </c>
      <c r="B362" s="23" t="s">
        <v>445</v>
      </c>
      <c r="C362" s="23" t="s">
        <v>66</v>
      </c>
      <c r="D362" s="23" t="s">
        <v>78</v>
      </c>
      <c r="E362" s="24" t="s">
        <v>29</v>
      </c>
      <c r="F362" s="21">
        <v>22000</v>
      </c>
      <c r="G362" s="22">
        <v>0</v>
      </c>
      <c r="H362" s="22">
        <v>25</v>
      </c>
      <c r="I362" s="22">
        <v>0</v>
      </c>
      <c r="J362" s="22">
        <v>0</v>
      </c>
      <c r="K362" s="22">
        <f>F362*2.87%</f>
        <v>631.4</v>
      </c>
      <c r="L362" s="22">
        <f>F362*7.1%</f>
        <v>1561.9999999999998</v>
      </c>
      <c r="M362" s="22">
        <v>286</v>
      </c>
      <c r="N362" s="22">
        <v>668.8</v>
      </c>
      <c r="O362" s="22">
        <v>1559.8000000000002</v>
      </c>
      <c r="P362" s="22">
        <v>0</v>
      </c>
      <c r="Q362" s="21">
        <f>K362+N362</f>
        <v>1300.1999999999998</v>
      </c>
      <c r="R362" s="21">
        <f>G362+H362+I362+J362+K362+N362+P362</f>
        <v>1325.1999999999998</v>
      </c>
      <c r="S362" s="21">
        <f>L362+M362+O362</f>
        <v>3407.8</v>
      </c>
      <c r="T362" s="21">
        <f>F362-R362</f>
        <v>20674.8</v>
      </c>
      <c r="U362" s="24" t="s">
        <v>30</v>
      </c>
    </row>
    <row r="363" spans="1:21" ht="15.75" customHeight="1">
      <c r="A363" s="23">
        <v>348</v>
      </c>
      <c r="B363" s="23" t="s">
        <v>446</v>
      </c>
      <c r="C363" s="23" t="s">
        <v>57</v>
      </c>
      <c r="D363" s="23" t="s">
        <v>58</v>
      </c>
      <c r="E363" s="24" t="s">
        <v>29</v>
      </c>
      <c r="F363" s="21">
        <v>15000</v>
      </c>
      <c r="G363" s="22">
        <v>0</v>
      </c>
      <c r="H363" s="22">
        <v>25</v>
      </c>
      <c r="I363" s="22">
        <v>0</v>
      </c>
      <c r="J363" s="22">
        <v>0</v>
      </c>
      <c r="K363" s="22">
        <f>F363*2.87%</f>
        <v>430.5</v>
      </c>
      <c r="L363" s="22">
        <f>F363*7.1%</f>
        <v>1065</v>
      </c>
      <c r="M363" s="22">
        <v>195</v>
      </c>
      <c r="N363" s="22">
        <v>456</v>
      </c>
      <c r="O363" s="22">
        <v>1063.5</v>
      </c>
      <c r="P363" s="22">
        <v>0</v>
      </c>
      <c r="Q363" s="21">
        <f>K363+N363</f>
        <v>886.5</v>
      </c>
      <c r="R363" s="21">
        <f>G363+H363+I363+J363+K363+N363+P363</f>
        <v>911.5</v>
      </c>
      <c r="S363" s="21">
        <f>L363+M363+O363</f>
        <v>2323.5</v>
      </c>
      <c r="T363" s="21">
        <f>F363-R363</f>
        <v>14088.5</v>
      </c>
      <c r="U363" s="24" t="s">
        <v>36</v>
      </c>
    </row>
    <row r="364" spans="1:21" ht="15.75" customHeight="1">
      <c r="A364" s="19">
        <v>349</v>
      </c>
      <c r="B364" s="23" t="s">
        <v>447</v>
      </c>
      <c r="C364" s="23" t="s">
        <v>71</v>
      </c>
      <c r="D364" s="23" t="s">
        <v>72</v>
      </c>
      <c r="E364" s="24" t="s">
        <v>29</v>
      </c>
      <c r="F364" s="21">
        <v>10000</v>
      </c>
      <c r="G364" s="22">
        <v>0</v>
      </c>
      <c r="H364" s="22">
        <v>25</v>
      </c>
      <c r="I364" s="22">
        <v>0</v>
      </c>
      <c r="J364" s="22">
        <f>700+300+1039.61</f>
        <v>2039.61</v>
      </c>
      <c r="K364" s="22">
        <f>F364*2.87%</f>
        <v>287</v>
      </c>
      <c r="L364" s="22">
        <f>F364*7.1%</f>
        <v>709.99999999999989</v>
      </c>
      <c r="M364" s="22">
        <v>130</v>
      </c>
      <c r="N364" s="22">
        <v>304</v>
      </c>
      <c r="O364" s="22">
        <v>709</v>
      </c>
      <c r="P364" s="22">
        <v>0</v>
      </c>
      <c r="Q364" s="21">
        <f>K364+N364</f>
        <v>591</v>
      </c>
      <c r="R364" s="21">
        <f>G364+H364+I364+J364+K364+N364+P364</f>
        <v>2655.6099999999997</v>
      </c>
      <c r="S364" s="21">
        <f>L364+M364+O364</f>
        <v>1549</v>
      </c>
      <c r="T364" s="21">
        <f>F364-R364</f>
        <v>7344.39</v>
      </c>
      <c r="U364" s="24" t="s">
        <v>36</v>
      </c>
    </row>
    <row r="365" spans="1:21" ht="15.75" customHeight="1">
      <c r="A365" s="23">
        <v>350</v>
      </c>
      <c r="B365" s="23" t="s">
        <v>448</v>
      </c>
      <c r="C365" s="23" t="s">
        <v>77</v>
      </c>
      <c r="D365" s="23" t="s">
        <v>58</v>
      </c>
      <c r="E365" s="24" t="s">
        <v>29</v>
      </c>
      <c r="F365" s="21">
        <v>10000</v>
      </c>
      <c r="G365" s="22">
        <v>0</v>
      </c>
      <c r="H365" s="22">
        <v>25</v>
      </c>
      <c r="I365" s="22">
        <v>0</v>
      </c>
      <c r="J365" s="22">
        <v>0</v>
      </c>
      <c r="K365" s="22">
        <f>F365*2.87%</f>
        <v>287</v>
      </c>
      <c r="L365" s="22">
        <f>F365*7.1%</f>
        <v>709.99999999999989</v>
      </c>
      <c r="M365" s="22">
        <v>130</v>
      </c>
      <c r="N365" s="22">
        <v>304</v>
      </c>
      <c r="O365" s="22">
        <v>709</v>
      </c>
      <c r="P365" s="22">
        <v>0</v>
      </c>
      <c r="Q365" s="21">
        <f>K365+N365</f>
        <v>591</v>
      </c>
      <c r="R365" s="21">
        <f>G365+H365+I365+J365+K365+N365+P365</f>
        <v>616</v>
      </c>
      <c r="S365" s="21">
        <f>L365+M365+O365</f>
        <v>1549</v>
      </c>
      <c r="T365" s="21">
        <f>F365-R365</f>
        <v>9384</v>
      </c>
      <c r="U365" s="24" t="s">
        <v>36</v>
      </c>
    </row>
    <row r="366" spans="1:21" ht="15.75" customHeight="1">
      <c r="A366" s="23">
        <v>351</v>
      </c>
      <c r="B366" s="23" t="s">
        <v>449</v>
      </c>
      <c r="C366" s="23" t="s">
        <v>68</v>
      </c>
      <c r="D366" s="23" t="s">
        <v>58</v>
      </c>
      <c r="E366" s="24" t="s">
        <v>29</v>
      </c>
      <c r="F366" s="21">
        <v>10000</v>
      </c>
      <c r="G366" s="22">
        <v>0</v>
      </c>
      <c r="H366" s="22">
        <v>25</v>
      </c>
      <c r="I366" s="22">
        <v>0</v>
      </c>
      <c r="J366" s="22">
        <f>1000+1072.66</f>
        <v>2072.66</v>
      </c>
      <c r="K366" s="22">
        <f>F366*2.87%</f>
        <v>287</v>
      </c>
      <c r="L366" s="22">
        <f>F366*7.1%</f>
        <v>709.99999999999989</v>
      </c>
      <c r="M366" s="22">
        <v>130</v>
      </c>
      <c r="N366" s="22">
        <v>304</v>
      </c>
      <c r="O366" s="22">
        <v>709</v>
      </c>
      <c r="P366" s="22">
        <v>0</v>
      </c>
      <c r="Q366" s="21">
        <f>K366+N366</f>
        <v>591</v>
      </c>
      <c r="R366" s="21">
        <f>G366+H366+I366+J366+K366+N366+P366</f>
        <v>2688.66</v>
      </c>
      <c r="S366" s="21">
        <f>L366+M366+O366</f>
        <v>1549</v>
      </c>
      <c r="T366" s="21">
        <f>F366-R366</f>
        <v>7311.34</v>
      </c>
      <c r="U366" s="24" t="s">
        <v>36</v>
      </c>
    </row>
    <row r="367" spans="1:21" ht="15.75" customHeight="1">
      <c r="A367" s="19">
        <v>352</v>
      </c>
      <c r="B367" s="23" t="s">
        <v>450</v>
      </c>
      <c r="C367" s="23" t="s">
        <v>51</v>
      </c>
      <c r="D367" s="23" t="s">
        <v>52</v>
      </c>
      <c r="E367" s="24" t="s">
        <v>29</v>
      </c>
      <c r="F367" s="21">
        <v>15000</v>
      </c>
      <c r="G367" s="22">
        <v>0</v>
      </c>
      <c r="H367" s="22">
        <v>25</v>
      </c>
      <c r="I367" s="22">
        <v>0</v>
      </c>
      <c r="J367" s="22">
        <v>0</v>
      </c>
      <c r="K367" s="22">
        <f>F367*2.87%</f>
        <v>430.5</v>
      </c>
      <c r="L367" s="22">
        <f>F367*7.1%</f>
        <v>1065</v>
      </c>
      <c r="M367" s="22">
        <v>195</v>
      </c>
      <c r="N367" s="22">
        <v>456</v>
      </c>
      <c r="O367" s="22">
        <v>1063.5</v>
      </c>
      <c r="P367" s="22">
        <v>0</v>
      </c>
      <c r="Q367" s="21">
        <f>K367+N367</f>
        <v>886.5</v>
      </c>
      <c r="R367" s="21">
        <f>G367+H367+I367+J367+K367+N367+P367</f>
        <v>911.5</v>
      </c>
      <c r="S367" s="21">
        <f>L367+M367+O367</f>
        <v>2323.5</v>
      </c>
      <c r="T367" s="21">
        <f>F367-R367</f>
        <v>14088.5</v>
      </c>
      <c r="U367" s="24" t="s">
        <v>30</v>
      </c>
    </row>
    <row r="368" spans="1:21" ht="15.75" customHeight="1">
      <c r="A368" s="23">
        <v>353</v>
      </c>
      <c r="B368" s="23" t="s">
        <v>451</v>
      </c>
      <c r="C368" s="23" t="s">
        <v>68</v>
      </c>
      <c r="D368" s="23" t="s">
        <v>35</v>
      </c>
      <c r="E368" s="24" t="s">
        <v>29</v>
      </c>
      <c r="F368" s="21">
        <v>18000</v>
      </c>
      <c r="G368" s="22">
        <v>0</v>
      </c>
      <c r="H368" s="22">
        <v>25</v>
      </c>
      <c r="I368" s="22">
        <v>0</v>
      </c>
      <c r="J368" s="22">
        <v>0</v>
      </c>
      <c r="K368" s="22">
        <f>F368*2.87%</f>
        <v>516.6</v>
      </c>
      <c r="L368" s="22">
        <f>F368*7.1%</f>
        <v>1277.9999999999998</v>
      </c>
      <c r="M368" s="22">
        <v>234</v>
      </c>
      <c r="N368" s="22">
        <v>547.20000000000005</v>
      </c>
      <c r="O368" s="22">
        <v>1276.2</v>
      </c>
      <c r="P368" s="22">
        <v>0</v>
      </c>
      <c r="Q368" s="21">
        <f>K368+N368</f>
        <v>1063.8000000000002</v>
      </c>
      <c r="R368" s="21">
        <f>G368+H368+I368+J368+K368+N368+P368</f>
        <v>1088.8000000000002</v>
      </c>
      <c r="S368" s="21">
        <f>L368+M368+O368</f>
        <v>2788.2</v>
      </c>
      <c r="T368" s="21">
        <f>F368-R368</f>
        <v>16911.2</v>
      </c>
      <c r="U368" s="24" t="s">
        <v>36</v>
      </c>
    </row>
    <row r="369" spans="1:21" ht="15.75" customHeight="1">
      <c r="A369" s="23">
        <v>354</v>
      </c>
      <c r="B369" s="23" t="s">
        <v>452</v>
      </c>
      <c r="C369" s="23" t="s">
        <v>63</v>
      </c>
      <c r="D369" s="23" t="s">
        <v>98</v>
      </c>
      <c r="E369" s="24" t="s">
        <v>29</v>
      </c>
      <c r="F369" s="21">
        <v>20000</v>
      </c>
      <c r="G369" s="22">
        <v>0</v>
      </c>
      <c r="H369" s="22">
        <v>25</v>
      </c>
      <c r="I369" s="22">
        <v>0</v>
      </c>
      <c r="J369" s="22">
        <v>0</v>
      </c>
      <c r="K369" s="22">
        <f>F369*2.87%</f>
        <v>574</v>
      </c>
      <c r="L369" s="22">
        <f>F369*7.1%</f>
        <v>1419.9999999999998</v>
      </c>
      <c r="M369" s="22">
        <v>260</v>
      </c>
      <c r="N369" s="22">
        <v>608</v>
      </c>
      <c r="O369" s="22">
        <v>1418</v>
      </c>
      <c r="P369" s="22">
        <v>0</v>
      </c>
      <c r="Q369" s="21">
        <f>K369+N369</f>
        <v>1182</v>
      </c>
      <c r="R369" s="21">
        <f>G369+H369+I369+J369+K369+N369+P369</f>
        <v>1207</v>
      </c>
      <c r="S369" s="21">
        <f>L369+M369+O369</f>
        <v>3098</v>
      </c>
      <c r="T369" s="21">
        <f>F369-R369</f>
        <v>18793</v>
      </c>
      <c r="U369" s="24" t="s">
        <v>30</v>
      </c>
    </row>
    <row r="370" spans="1:21" ht="15.75" customHeight="1">
      <c r="A370" s="19">
        <v>355</v>
      </c>
      <c r="B370" s="23" t="s">
        <v>453</v>
      </c>
      <c r="C370" s="23" t="s">
        <v>68</v>
      </c>
      <c r="D370" s="23" t="s">
        <v>72</v>
      </c>
      <c r="E370" s="24" t="s">
        <v>29</v>
      </c>
      <c r="F370" s="21">
        <v>15000</v>
      </c>
      <c r="G370" s="22">
        <v>0</v>
      </c>
      <c r="H370" s="22">
        <v>25</v>
      </c>
      <c r="I370" s="22">
        <v>0</v>
      </c>
      <c r="J370" s="22">
        <v>0</v>
      </c>
      <c r="K370" s="22">
        <f>F370*2.87%</f>
        <v>430.5</v>
      </c>
      <c r="L370" s="22">
        <f>F370*7.1%</f>
        <v>1065</v>
      </c>
      <c r="M370" s="22">
        <v>195</v>
      </c>
      <c r="N370" s="22">
        <v>456</v>
      </c>
      <c r="O370" s="22">
        <v>1063.5</v>
      </c>
      <c r="P370" s="22">
        <v>0</v>
      </c>
      <c r="Q370" s="21">
        <f>K370+N370</f>
        <v>886.5</v>
      </c>
      <c r="R370" s="21">
        <f>G370+H370+I370+J370+K370+N370+P370</f>
        <v>911.5</v>
      </c>
      <c r="S370" s="21">
        <f>L370+M370+O370</f>
        <v>2323.5</v>
      </c>
      <c r="T370" s="21">
        <f>F370-R370</f>
        <v>14088.5</v>
      </c>
      <c r="U370" s="24" t="s">
        <v>36</v>
      </c>
    </row>
    <row r="371" spans="1:21" ht="15.75" customHeight="1">
      <c r="A371" s="23">
        <v>356</v>
      </c>
      <c r="B371" s="23" t="s">
        <v>454</v>
      </c>
      <c r="C371" s="23" t="s">
        <v>57</v>
      </c>
      <c r="D371" s="23" t="s">
        <v>72</v>
      </c>
      <c r="E371" s="24" t="s">
        <v>29</v>
      </c>
      <c r="F371" s="21">
        <v>10000</v>
      </c>
      <c r="G371" s="22">
        <v>0</v>
      </c>
      <c r="H371" s="22">
        <v>25</v>
      </c>
      <c r="I371" s="22">
        <v>0</v>
      </c>
      <c r="J371" s="22">
        <v>0</v>
      </c>
      <c r="K371" s="22">
        <f>F371*2.87%</f>
        <v>287</v>
      </c>
      <c r="L371" s="22">
        <f>F371*7.1%</f>
        <v>709.99999999999989</v>
      </c>
      <c r="M371" s="22">
        <v>130</v>
      </c>
      <c r="N371" s="22">
        <v>304</v>
      </c>
      <c r="O371" s="22">
        <v>709</v>
      </c>
      <c r="P371" s="22">
        <v>0</v>
      </c>
      <c r="Q371" s="21">
        <f>K371+N371</f>
        <v>591</v>
      </c>
      <c r="R371" s="21">
        <f>G371+H371+I371+J371+K371+N371+P371</f>
        <v>616</v>
      </c>
      <c r="S371" s="21">
        <f>L371+M371+O371</f>
        <v>1549</v>
      </c>
      <c r="T371" s="21">
        <f>F371-R371</f>
        <v>9384</v>
      </c>
      <c r="U371" s="24" t="s">
        <v>30</v>
      </c>
    </row>
    <row r="372" spans="1:21" ht="15.75" customHeight="1">
      <c r="A372" s="23">
        <v>357</v>
      </c>
      <c r="B372" s="23" t="s">
        <v>455</v>
      </c>
      <c r="C372" s="23" t="s">
        <v>63</v>
      </c>
      <c r="D372" s="23" t="s">
        <v>98</v>
      </c>
      <c r="E372" s="24" t="s">
        <v>29</v>
      </c>
      <c r="F372" s="21">
        <v>22000</v>
      </c>
      <c r="G372" s="22">
        <v>0</v>
      </c>
      <c r="H372" s="22">
        <v>25</v>
      </c>
      <c r="I372" s="22">
        <v>0</v>
      </c>
      <c r="J372" s="22">
        <v>0</v>
      </c>
      <c r="K372" s="22">
        <f>F372*2.87%</f>
        <v>631.4</v>
      </c>
      <c r="L372" s="22">
        <f>F372*7.1%</f>
        <v>1561.9999999999998</v>
      </c>
      <c r="M372" s="22">
        <v>286</v>
      </c>
      <c r="N372" s="22">
        <v>668.8</v>
      </c>
      <c r="O372" s="22">
        <v>1559.8000000000002</v>
      </c>
      <c r="P372" s="22">
        <v>0</v>
      </c>
      <c r="Q372" s="21">
        <f>K372+N372</f>
        <v>1300.1999999999998</v>
      </c>
      <c r="R372" s="21">
        <f>G372+H372+I372+J372+K372+N372+P372</f>
        <v>1325.1999999999998</v>
      </c>
      <c r="S372" s="21">
        <f>L372+M372+O372</f>
        <v>3407.8</v>
      </c>
      <c r="T372" s="21">
        <f>F372-R372</f>
        <v>20674.8</v>
      </c>
      <c r="U372" s="24" t="s">
        <v>30</v>
      </c>
    </row>
    <row r="373" spans="1:21" ht="15.75" customHeight="1">
      <c r="A373" s="19">
        <v>358</v>
      </c>
      <c r="B373" s="23" t="s">
        <v>456</v>
      </c>
      <c r="C373" s="23" t="s">
        <v>57</v>
      </c>
      <c r="D373" s="23" t="s">
        <v>58</v>
      </c>
      <c r="E373" s="24" t="s">
        <v>29</v>
      </c>
      <c r="F373" s="21">
        <v>15000</v>
      </c>
      <c r="G373" s="22">
        <v>0</v>
      </c>
      <c r="H373" s="22">
        <v>25</v>
      </c>
      <c r="I373" s="22">
        <v>0</v>
      </c>
      <c r="J373" s="22">
        <v>0</v>
      </c>
      <c r="K373" s="22">
        <f>F373*2.87%</f>
        <v>430.5</v>
      </c>
      <c r="L373" s="22">
        <f>F373*7.1%</f>
        <v>1065</v>
      </c>
      <c r="M373" s="22">
        <v>195</v>
      </c>
      <c r="N373" s="22">
        <v>456</v>
      </c>
      <c r="O373" s="22">
        <v>1063.5</v>
      </c>
      <c r="P373" s="22">
        <v>0</v>
      </c>
      <c r="Q373" s="21">
        <f>K373+N373</f>
        <v>886.5</v>
      </c>
      <c r="R373" s="21">
        <f>G373+H373+I373+J373+K373+N373+P373</f>
        <v>911.5</v>
      </c>
      <c r="S373" s="21">
        <f>L373+M373+O373</f>
        <v>2323.5</v>
      </c>
      <c r="T373" s="21">
        <f>F373-R373</f>
        <v>14088.5</v>
      </c>
      <c r="U373" s="24" t="s">
        <v>30</v>
      </c>
    </row>
    <row r="374" spans="1:21" ht="15.75" customHeight="1">
      <c r="A374" s="23">
        <v>359</v>
      </c>
      <c r="B374" s="23" t="s">
        <v>457</v>
      </c>
      <c r="C374" s="23" t="s">
        <v>66</v>
      </c>
      <c r="D374" s="23" t="s">
        <v>72</v>
      </c>
      <c r="E374" s="24" t="s">
        <v>29</v>
      </c>
      <c r="F374" s="21">
        <v>35000</v>
      </c>
      <c r="G374" s="22">
        <v>0</v>
      </c>
      <c r="H374" s="22">
        <v>25</v>
      </c>
      <c r="I374" s="22">
        <v>0</v>
      </c>
      <c r="J374" s="22">
        <v>0</v>
      </c>
      <c r="K374" s="22">
        <f>F374*2.87%</f>
        <v>1004.5</v>
      </c>
      <c r="L374" s="22">
        <f>F374*7.1%</f>
        <v>2485</v>
      </c>
      <c r="M374" s="22">
        <v>455</v>
      </c>
      <c r="N374" s="22">
        <v>1064</v>
      </c>
      <c r="O374" s="22">
        <v>2481.5</v>
      </c>
      <c r="P374" s="22">
        <v>0</v>
      </c>
      <c r="Q374" s="21">
        <f>K374+N374</f>
        <v>2068.5</v>
      </c>
      <c r="R374" s="21">
        <f>G374+H374+I374+J374+K374+N374+P374</f>
        <v>2093.5</v>
      </c>
      <c r="S374" s="21">
        <f>L374+M374+O374</f>
        <v>5421.5</v>
      </c>
      <c r="T374" s="21">
        <f>F374-R374</f>
        <v>32906.5</v>
      </c>
      <c r="U374" s="24" t="s">
        <v>30</v>
      </c>
    </row>
    <row r="375" spans="1:21" ht="15.75" customHeight="1">
      <c r="A375" s="23">
        <v>360</v>
      </c>
      <c r="B375" s="23" t="s">
        <v>458</v>
      </c>
      <c r="C375" s="23" t="s">
        <v>63</v>
      </c>
      <c r="D375" s="23" t="s">
        <v>98</v>
      </c>
      <c r="E375" s="24" t="s">
        <v>29</v>
      </c>
      <c r="F375" s="21">
        <v>25000</v>
      </c>
      <c r="G375" s="22">
        <v>0</v>
      </c>
      <c r="H375" s="22">
        <v>25</v>
      </c>
      <c r="I375" s="22">
        <v>0</v>
      </c>
      <c r="J375" s="22">
        <v>0</v>
      </c>
      <c r="K375" s="22">
        <f>F375*2.87%</f>
        <v>717.5</v>
      </c>
      <c r="L375" s="22">
        <f>F375*7.1%</f>
        <v>1774.9999999999998</v>
      </c>
      <c r="M375" s="22">
        <v>325</v>
      </c>
      <c r="N375" s="22">
        <v>760</v>
      </c>
      <c r="O375" s="22">
        <v>1772.5000000000002</v>
      </c>
      <c r="P375" s="22">
        <v>0</v>
      </c>
      <c r="Q375" s="21">
        <f>K375+N375</f>
        <v>1477.5</v>
      </c>
      <c r="R375" s="21">
        <f>G375+H375+I375+J375+K375+N375+P375</f>
        <v>1502.5</v>
      </c>
      <c r="S375" s="21">
        <f>L375+M375+O375</f>
        <v>3872.5</v>
      </c>
      <c r="T375" s="21">
        <f>F375-R375</f>
        <v>23497.5</v>
      </c>
      <c r="U375" s="24" t="s">
        <v>30</v>
      </c>
    </row>
    <row r="376" spans="1:21" ht="15.75" customHeight="1">
      <c r="A376" s="19">
        <v>361</v>
      </c>
      <c r="B376" s="23" t="s">
        <v>459</v>
      </c>
      <c r="C376" s="23" t="s">
        <v>71</v>
      </c>
      <c r="D376" s="23" t="s">
        <v>460</v>
      </c>
      <c r="E376" s="24" t="s">
        <v>29</v>
      </c>
      <c r="F376" s="21">
        <v>15000</v>
      </c>
      <c r="G376" s="22">
        <v>0</v>
      </c>
      <c r="H376" s="22">
        <v>25</v>
      </c>
      <c r="I376" s="22">
        <v>0</v>
      </c>
      <c r="J376" s="22">
        <f>500+300+2504.67</f>
        <v>3304.67</v>
      </c>
      <c r="K376" s="22">
        <f>F376*2.87%</f>
        <v>430.5</v>
      </c>
      <c r="L376" s="22">
        <f>F376*7.1%</f>
        <v>1065</v>
      </c>
      <c r="M376" s="22">
        <v>195</v>
      </c>
      <c r="N376" s="22">
        <v>456</v>
      </c>
      <c r="O376" s="22">
        <v>1063.5</v>
      </c>
      <c r="P376" s="22">
        <v>0</v>
      </c>
      <c r="Q376" s="21">
        <f>K376+N376</f>
        <v>886.5</v>
      </c>
      <c r="R376" s="21">
        <f>G376+H376+I376+J376+K376+N376+P376</f>
        <v>4216.17</v>
      </c>
      <c r="S376" s="21">
        <f>L376+M376+O376</f>
        <v>2323.5</v>
      </c>
      <c r="T376" s="21">
        <f>F376-R376</f>
        <v>10783.83</v>
      </c>
      <c r="U376" s="24" t="s">
        <v>30</v>
      </c>
    </row>
    <row r="377" spans="1:21" ht="15.75" customHeight="1">
      <c r="A377" s="23">
        <v>362</v>
      </c>
      <c r="B377" s="23" t="s">
        <v>461</v>
      </c>
      <c r="C377" s="23" t="s">
        <v>68</v>
      </c>
      <c r="D377" s="23" t="s">
        <v>138</v>
      </c>
      <c r="E377" s="24" t="s">
        <v>29</v>
      </c>
      <c r="F377" s="21">
        <v>20000</v>
      </c>
      <c r="G377" s="22">
        <v>0</v>
      </c>
      <c r="H377" s="22">
        <v>25</v>
      </c>
      <c r="I377" s="22">
        <v>0</v>
      </c>
      <c r="J377" s="22">
        <v>0</v>
      </c>
      <c r="K377" s="22">
        <f>F377*2.87%</f>
        <v>574</v>
      </c>
      <c r="L377" s="22">
        <f>F377*7.1%</f>
        <v>1419.9999999999998</v>
      </c>
      <c r="M377" s="22">
        <v>260</v>
      </c>
      <c r="N377" s="22">
        <v>608</v>
      </c>
      <c r="O377" s="22">
        <v>1418</v>
      </c>
      <c r="P377" s="22">
        <v>0</v>
      </c>
      <c r="Q377" s="21">
        <f>K377+N377</f>
        <v>1182</v>
      </c>
      <c r="R377" s="21">
        <f>G377+H377+I377+J377+K377+N377+P377</f>
        <v>1207</v>
      </c>
      <c r="S377" s="21">
        <f>L377+M377+O377</f>
        <v>3098</v>
      </c>
      <c r="T377" s="21">
        <f>F377-R377</f>
        <v>18793</v>
      </c>
      <c r="U377" s="24" t="s">
        <v>30</v>
      </c>
    </row>
    <row r="378" spans="1:21" ht="15.75" customHeight="1">
      <c r="A378" s="23">
        <v>363</v>
      </c>
      <c r="B378" s="23" t="s">
        <v>462</v>
      </c>
      <c r="C378" s="23" t="s">
        <v>77</v>
      </c>
      <c r="D378" s="23" t="s">
        <v>78</v>
      </c>
      <c r="E378" s="24" t="s">
        <v>29</v>
      </c>
      <c r="F378" s="21">
        <v>10000</v>
      </c>
      <c r="G378" s="22">
        <v>0</v>
      </c>
      <c r="H378" s="22">
        <v>25</v>
      </c>
      <c r="I378" s="22">
        <v>0</v>
      </c>
      <c r="J378" s="22">
        <v>0</v>
      </c>
      <c r="K378" s="22">
        <f>F378*2.87%</f>
        <v>287</v>
      </c>
      <c r="L378" s="22">
        <f>F378*7.1%</f>
        <v>709.99999999999989</v>
      </c>
      <c r="M378" s="22">
        <v>130</v>
      </c>
      <c r="N378" s="22">
        <v>304</v>
      </c>
      <c r="O378" s="22">
        <v>709</v>
      </c>
      <c r="P378" s="22">
        <v>0</v>
      </c>
      <c r="Q378" s="21">
        <f>K378+N378</f>
        <v>591</v>
      </c>
      <c r="R378" s="21">
        <f>G378+H378+I378+J378+K378+N378+P378</f>
        <v>616</v>
      </c>
      <c r="S378" s="21">
        <f>L378+M378+O378</f>
        <v>1549</v>
      </c>
      <c r="T378" s="21">
        <f>F378-R378</f>
        <v>9384</v>
      </c>
      <c r="U378" s="24" t="s">
        <v>30</v>
      </c>
    </row>
    <row r="379" spans="1:21" ht="15.75" customHeight="1">
      <c r="A379" s="19">
        <v>364</v>
      </c>
      <c r="B379" s="23" t="s">
        <v>463</v>
      </c>
      <c r="C379" s="23" t="s">
        <v>77</v>
      </c>
      <c r="D379" s="23" t="s">
        <v>78</v>
      </c>
      <c r="E379" s="24" t="s">
        <v>29</v>
      </c>
      <c r="F379" s="21">
        <v>10000</v>
      </c>
      <c r="G379" s="22">
        <v>0</v>
      </c>
      <c r="H379" s="22">
        <v>25</v>
      </c>
      <c r="I379" s="22">
        <v>0</v>
      </c>
      <c r="J379" s="22">
        <v>0</v>
      </c>
      <c r="K379" s="22">
        <f>F379*2.87%</f>
        <v>287</v>
      </c>
      <c r="L379" s="22">
        <f>F379*7.1%</f>
        <v>709.99999999999989</v>
      </c>
      <c r="M379" s="22">
        <v>130</v>
      </c>
      <c r="N379" s="22">
        <v>304</v>
      </c>
      <c r="O379" s="22">
        <v>709</v>
      </c>
      <c r="P379" s="22">
        <v>0</v>
      </c>
      <c r="Q379" s="21">
        <f>K379+N379</f>
        <v>591</v>
      </c>
      <c r="R379" s="21">
        <f>G379+H379+I379+J379+K379+N379+P379</f>
        <v>616</v>
      </c>
      <c r="S379" s="21">
        <f>L379+M379+O379</f>
        <v>1549</v>
      </c>
      <c r="T379" s="21">
        <f>F379-R379</f>
        <v>9384</v>
      </c>
      <c r="U379" s="24" t="s">
        <v>30</v>
      </c>
    </row>
    <row r="380" spans="1:21" ht="15.75" customHeight="1">
      <c r="A380" s="23">
        <v>365</v>
      </c>
      <c r="B380" s="23" t="s">
        <v>464</v>
      </c>
      <c r="C380" s="23" t="s">
        <v>57</v>
      </c>
      <c r="D380" s="23" t="s">
        <v>58</v>
      </c>
      <c r="E380" s="24" t="s">
        <v>29</v>
      </c>
      <c r="F380" s="21">
        <v>15000</v>
      </c>
      <c r="G380" s="22">
        <v>0</v>
      </c>
      <c r="H380" s="22">
        <v>25</v>
      </c>
      <c r="I380" s="22">
        <v>0</v>
      </c>
      <c r="J380" s="22">
        <f>300+1000+1097.32</f>
        <v>2397.3199999999997</v>
      </c>
      <c r="K380" s="22">
        <f>F380*2.87%</f>
        <v>430.5</v>
      </c>
      <c r="L380" s="22">
        <f>F380*7.1%</f>
        <v>1065</v>
      </c>
      <c r="M380" s="22">
        <v>195</v>
      </c>
      <c r="N380" s="22">
        <v>456</v>
      </c>
      <c r="O380" s="22">
        <v>1063.5</v>
      </c>
      <c r="P380" s="22">
        <v>0</v>
      </c>
      <c r="Q380" s="21">
        <f>K380+N380</f>
        <v>886.5</v>
      </c>
      <c r="R380" s="21">
        <f>G380+H380+I380+J380+K380+N380+P380</f>
        <v>3308.8199999999997</v>
      </c>
      <c r="S380" s="21">
        <f>L380+M380+O380</f>
        <v>2323.5</v>
      </c>
      <c r="T380" s="21">
        <f>F380-R380</f>
        <v>11691.18</v>
      </c>
      <c r="U380" s="24" t="s">
        <v>30</v>
      </c>
    </row>
    <row r="381" spans="1:21" ht="15.75" customHeight="1">
      <c r="A381" s="23">
        <v>366</v>
      </c>
      <c r="B381" s="23" t="s">
        <v>465</v>
      </c>
      <c r="C381" s="23" t="s">
        <v>88</v>
      </c>
      <c r="D381" s="23" t="s">
        <v>58</v>
      </c>
      <c r="E381" s="24" t="s">
        <v>29</v>
      </c>
      <c r="F381" s="21">
        <v>15000</v>
      </c>
      <c r="G381" s="22">
        <v>0</v>
      </c>
      <c r="H381" s="22">
        <v>25</v>
      </c>
      <c r="I381" s="22">
        <v>0</v>
      </c>
      <c r="J381" s="22">
        <f>500+500+1085.28</f>
        <v>2085.2799999999997</v>
      </c>
      <c r="K381" s="22">
        <f>F381*2.87%</f>
        <v>430.5</v>
      </c>
      <c r="L381" s="22">
        <f>F381*7.1%</f>
        <v>1065</v>
      </c>
      <c r="M381" s="22">
        <v>195</v>
      </c>
      <c r="N381" s="22">
        <v>456</v>
      </c>
      <c r="O381" s="22">
        <v>1063.5</v>
      </c>
      <c r="P381" s="22">
        <v>0</v>
      </c>
      <c r="Q381" s="21">
        <f>K381+N381</f>
        <v>886.5</v>
      </c>
      <c r="R381" s="21">
        <f>G381+H381+I381+J381+K381+N381+P381</f>
        <v>2996.7799999999997</v>
      </c>
      <c r="S381" s="21">
        <f>L381+M381+O381</f>
        <v>2323.5</v>
      </c>
      <c r="T381" s="21">
        <f>F381-R381</f>
        <v>12003.220000000001</v>
      </c>
      <c r="U381" s="24" t="s">
        <v>36</v>
      </c>
    </row>
    <row r="382" spans="1:21" ht="15.75" customHeight="1">
      <c r="A382" s="19">
        <v>367</v>
      </c>
      <c r="B382" s="23" t="s">
        <v>466</v>
      </c>
      <c r="C382" s="23" t="s">
        <v>88</v>
      </c>
      <c r="D382" s="23" t="s">
        <v>58</v>
      </c>
      <c r="E382" s="24" t="s">
        <v>29</v>
      </c>
      <c r="F382" s="21">
        <v>15000</v>
      </c>
      <c r="G382" s="22">
        <v>0</v>
      </c>
      <c r="H382" s="22">
        <v>25</v>
      </c>
      <c r="I382" s="22">
        <v>0</v>
      </c>
      <c r="J382" s="22">
        <v>0</v>
      </c>
      <c r="K382" s="22">
        <f>F382*2.87%</f>
        <v>430.5</v>
      </c>
      <c r="L382" s="22">
        <f>F382*7.1%</f>
        <v>1065</v>
      </c>
      <c r="M382" s="22">
        <v>195</v>
      </c>
      <c r="N382" s="22">
        <v>456</v>
      </c>
      <c r="O382" s="22">
        <v>1063.5</v>
      </c>
      <c r="P382" s="22">
        <v>0</v>
      </c>
      <c r="Q382" s="21">
        <f>K382+N382</f>
        <v>886.5</v>
      </c>
      <c r="R382" s="21">
        <f>G382+H382+I382+J382+K382+N382+P382</f>
        <v>911.5</v>
      </c>
      <c r="S382" s="21">
        <f>L382+M382+O382</f>
        <v>2323.5</v>
      </c>
      <c r="T382" s="21">
        <f>F382-R382</f>
        <v>14088.5</v>
      </c>
      <c r="U382" s="24" t="s">
        <v>36</v>
      </c>
    </row>
    <row r="383" spans="1:21" ht="15.75" customHeight="1">
      <c r="A383" s="23">
        <v>368</v>
      </c>
      <c r="B383" s="23" t="s">
        <v>467</v>
      </c>
      <c r="C383" s="23" t="s">
        <v>68</v>
      </c>
      <c r="D383" s="23" t="s">
        <v>86</v>
      </c>
      <c r="E383" s="24" t="s">
        <v>29</v>
      </c>
      <c r="F383" s="21">
        <v>16000</v>
      </c>
      <c r="G383" s="22">
        <v>0</v>
      </c>
      <c r="H383" s="22">
        <v>25</v>
      </c>
      <c r="I383" s="22">
        <v>0</v>
      </c>
      <c r="J383" s="22">
        <v>0</v>
      </c>
      <c r="K383" s="22">
        <f>F383*2.87%</f>
        <v>459.2</v>
      </c>
      <c r="L383" s="22">
        <f>F383*7.1%</f>
        <v>1136</v>
      </c>
      <c r="M383" s="22">
        <v>208</v>
      </c>
      <c r="N383" s="22">
        <v>486.4</v>
      </c>
      <c r="O383" s="22">
        <v>1134.4000000000001</v>
      </c>
      <c r="P383" s="22">
        <v>0</v>
      </c>
      <c r="Q383" s="21">
        <f>K383+N383</f>
        <v>945.59999999999991</v>
      </c>
      <c r="R383" s="21">
        <f>G383+H383+I383+J383+K383+N383+P383</f>
        <v>970.59999999999991</v>
      </c>
      <c r="S383" s="21">
        <f>L383+M383+O383</f>
        <v>2478.4</v>
      </c>
      <c r="T383" s="21">
        <f>F383-R383</f>
        <v>15029.4</v>
      </c>
      <c r="U383" s="24" t="s">
        <v>36</v>
      </c>
    </row>
    <row r="384" spans="1:21" ht="15.75" customHeight="1">
      <c r="A384" s="23">
        <v>369</v>
      </c>
      <c r="B384" s="23" t="s">
        <v>468</v>
      </c>
      <c r="C384" s="23" t="s">
        <v>77</v>
      </c>
      <c r="D384" s="23" t="s">
        <v>61</v>
      </c>
      <c r="E384" s="24" t="s">
        <v>29</v>
      </c>
      <c r="F384" s="21">
        <v>15000</v>
      </c>
      <c r="G384" s="22">
        <v>0</v>
      </c>
      <c r="H384" s="22">
        <v>25</v>
      </c>
      <c r="I384" s="22">
        <v>0</v>
      </c>
      <c r="J384" s="22">
        <v>0</v>
      </c>
      <c r="K384" s="22">
        <f>F384*2.87%</f>
        <v>430.5</v>
      </c>
      <c r="L384" s="22">
        <f>F384*7.1%</f>
        <v>1065</v>
      </c>
      <c r="M384" s="22">
        <v>195</v>
      </c>
      <c r="N384" s="22">
        <v>456</v>
      </c>
      <c r="O384" s="22">
        <v>1063.5</v>
      </c>
      <c r="P384" s="22">
        <v>0</v>
      </c>
      <c r="Q384" s="21">
        <f>K384+N384</f>
        <v>886.5</v>
      </c>
      <c r="R384" s="21">
        <f>G384+H384+I384+J384+K384+N384+P384</f>
        <v>911.5</v>
      </c>
      <c r="S384" s="21">
        <f>L384+M384+O384</f>
        <v>2323.5</v>
      </c>
      <c r="T384" s="21">
        <f>F384-R384</f>
        <v>14088.5</v>
      </c>
      <c r="U384" s="24" t="s">
        <v>30</v>
      </c>
    </row>
    <row r="385" spans="1:21" ht="15.75" customHeight="1">
      <c r="A385" s="19">
        <v>370</v>
      </c>
      <c r="B385" s="23" t="s">
        <v>469</v>
      </c>
      <c r="C385" s="23" t="s">
        <v>88</v>
      </c>
      <c r="D385" s="23" t="s">
        <v>470</v>
      </c>
      <c r="E385" s="24" t="s">
        <v>29</v>
      </c>
      <c r="F385" s="21">
        <v>10000</v>
      </c>
      <c r="G385" s="22">
        <v>0</v>
      </c>
      <c r="H385" s="22">
        <v>25</v>
      </c>
      <c r="I385" s="22">
        <v>0</v>
      </c>
      <c r="J385" s="22">
        <v>0</v>
      </c>
      <c r="K385" s="22">
        <f>F385*2.87%</f>
        <v>287</v>
      </c>
      <c r="L385" s="22">
        <f>F385*7.1%</f>
        <v>709.99999999999989</v>
      </c>
      <c r="M385" s="22">
        <v>130</v>
      </c>
      <c r="N385" s="22">
        <v>304</v>
      </c>
      <c r="O385" s="22">
        <v>709</v>
      </c>
      <c r="P385" s="22">
        <v>0</v>
      </c>
      <c r="Q385" s="21">
        <f>K385+N385</f>
        <v>591</v>
      </c>
      <c r="R385" s="21">
        <f>G385+H385+I385+J385+K385+N385+P385</f>
        <v>616</v>
      </c>
      <c r="S385" s="21">
        <f>L385+M385+O385</f>
        <v>1549</v>
      </c>
      <c r="T385" s="21">
        <f>F385-R385</f>
        <v>9384</v>
      </c>
      <c r="U385" s="24" t="s">
        <v>30</v>
      </c>
    </row>
    <row r="386" spans="1:21" ht="15.75" customHeight="1">
      <c r="A386" s="23">
        <v>371</v>
      </c>
      <c r="B386" s="23" t="s">
        <v>471</v>
      </c>
      <c r="C386" s="23" t="s">
        <v>287</v>
      </c>
      <c r="D386" s="23" t="s">
        <v>61</v>
      </c>
      <c r="E386" s="24" t="s">
        <v>29</v>
      </c>
      <c r="F386" s="21">
        <v>33000</v>
      </c>
      <c r="G386" s="22">
        <v>0</v>
      </c>
      <c r="H386" s="22">
        <v>25</v>
      </c>
      <c r="I386" s="22">
        <v>0</v>
      </c>
      <c r="J386" s="22">
        <v>0</v>
      </c>
      <c r="K386" s="22">
        <f>F386*2.87%</f>
        <v>947.1</v>
      </c>
      <c r="L386" s="22">
        <f>F386*7.1%</f>
        <v>2343</v>
      </c>
      <c r="M386" s="22">
        <v>429</v>
      </c>
      <c r="N386" s="22">
        <v>1003.2</v>
      </c>
      <c r="O386" s="22">
        <v>2339.7000000000003</v>
      </c>
      <c r="P386" s="22">
        <v>1587.38</v>
      </c>
      <c r="Q386" s="21">
        <f>K386+N386</f>
        <v>1950.3000000000002</v>
      </c>
      <c r="R386" s="21">
        <f>G386+H386+I386+J386+K386+N386+P386</f>
        <v>3562.6800000000003</v>
      </c>
      <c r="S386" s="21">
        <f>L386+M386+O386</f>
        <v>5111.7000000000007</v>
      </c>
      <c r="T386" s="21">
        <f>F386-R386</f>
        <v>29437.32</v>
      </c>
      <c r="U386" s="24" t="s">
        <v>30</v>
      </c>
    </row>
    <row r="387" spans="1:21" ht="15.75" customHeight="1">
      <c r="A387" s="23">
        <v>372</v>
      </c>
      <c r="B387" s="23" t="s">
        <v>472</v>
      </c>
      <c r="C387" s="23" t="s">
        <v>77</v>
      </c>
      <c r="D387" s="23" t="s">
        <v>58</v>
      </c>
      <c r="E387" s="24" t="s">
        <v>29</v>
      </c>
      <c r="F387" s="21">
        <v>15000</v>
      </c>
      <c r="G387" s="22">
        <v>0</v>
      </c>
      <c r="H387" s="22">
        <v>25</v>
      </c>
      <c r="I387" s="22">
        <v>0</v>
      </c>
      <c r="J387" s="22">
        <v>0</v>
      </c>
      <c r="K387" s="22">
        <f>F387*2.87%</f>
        <v>430.5</v>
      </c>
      <c r="L387" s="22">
        <f>F387*7.1%</f>
        <v>1065</v>
      </c>
      <c r="M387" s="22">
        <v>195</v>
      </c>
      <c r="N387" s="22">
        <v>456</v>
      </c>
      <c r="O387" s="22">
        <v>1063.5</v>
      </c>
      <c r="P387" s="22">
        <v>0</v>
      </c>
      <c r="Q387" s="21">
        <f>K387+N387</f>
        <v>886.5</v>
      </c>
      <c r="R387" s="21">
        <f>G387+H387+I387+J387+K387+N387+P387</f>
        <v>911.5</v>
      </c>
      <c r="S387" s="21">
        <f>L387+M387+O387</f>
        <v>2323.5</v>
      </c>
      <c r="T387" s="21">
        <f>F387-R387</f>
        <v>14088.5</v>
      </c>
      <c r="U387" s="24" t="s">
        <v>30</v>
      </c>
    </row>
    <row r="388" spans="1:21" ht="15.75" customHeight="1">
      <c r="A388" s="19">
        <v>373</v>
      </c>
      <c r="B388" s="23" t="s">
        <v>473</v>
      </c>
      <c r="C388" s="23" t="s">
        <v>51</v>
      </c>
      <c r="D388" s="23" t="s">
        <v>52</v>
      </c>
      <c r="E388" s="24" t="s">
        <v>29</v>
      </c>
      <c r="F388" s="21">
        <v>13500</v>
      </c>
      <c r="G388" s="22">
        <v>0</v>
      </c>
      <c r="H388" s="22">
        <v>25</v>
      </c>
      <c r="I388" s="22">
        <v>0</v>
      </c>
      <c r="J388" s="22">
        <v>0</v>
      </c>
      <c r="K388" s="22">
        <f>F388*2.87%</f>
        <v>387.45</v>
      </c>
      <c r="L388" s="22">
        <f>F388*7.1%</f>
        <v>958.49999999999989</v>
      </c>
      <c r="M388" s="22">
        <v>175.5</v>
      </c>
      <c r="N388" s="22">
        <v>410.4</v>
      </c>
      <c r="O388" s="22">
        <v>957.15000000000009</v>
      </c>
      <c r="P388" s="21">
        <v>0</v>
      </c>
      <c r="Q388" s="21">
        <f>K388+N388</f>
        <v>797.84999999999991</v>
      </c>
      <c r="R388" s="21">
        <f>G388+H388+I388+J388+K388+N388+P388</f>
        <v>822.84999999999991</v>
      </c>
      <c r="S388" s="21">
        <f>L388+M388+O388</f>
        <v>2091.15</v>
      </c>
      <c r="T388" s="21">
        <f>F388-R388</f>
        <v>12677.15</v>
      </c>
      <c r="U388" s="24" t="s">
        <v>30</v>
      </c>
    </row>
    <row r="389" spans="1:21" ht="15.75" customHeight="1">
      <c r="A389" s="23">
        <v>374</v>
      </c>
      <c r="B389" s="23" t="s">
        <v>474</v>
      </c>
      <c r="C389" s="23" t="s">
        <v>88</v>
      </c>
      <c r="D389" s="23" t="s">
        <v>61</v>
      </c>
      <c r="E389" s="24" t="s">
        <v>29</v>
      </c>
      <c r="F389" s="21">
        <v>10000</v>
      </c>
      <c r="G389" s="22">
        <v>0</v>
      </c>
      <c r="H389" s="22">
        <v>25</v>
      </c>
      <c r="I389" s="22">
        <v>0</v>
      </c>
      <c r="J389" s="22">
        <v>0</v>
      </c>
      <c r="K389" s="22">
        <f>F389*2.87%</f>
        <v>287</v>
      </c>
      <c r="L389" s="22">
        <f>F389*7.1%</f>
        <v>709.99999999999989</v>
      </c>
      <c r="M389" s="22">
        <v>130</v>
      </c>
      <c r="N389" s="22">
        <v>304</v>
      </c>
      <c r="O389" s="22">
        <v>709</v>
      </c>
      <c r="P389" s="22">
        <v>0</v>
      </c>
      <c r="Q389" s="21">
        <f>K389+N389</f>
        <v>591</v>
      </c>
      <c r="R389" s="21">
        <f>G389+H389+I389+J389+K389+N389+P389</f>
        <v>616</v>
      </c>
      <c r="S389" s="21">
        <f>L389+M389+O389</f>
        <v>1549</v>
      </c>
      <c r="T389" s="21">
        <f>F389-R389</f>
        <v>9384</v>
      </c>
      <c r="U389" s="24" t="s">
        <v>30</v>
      </c>
    </row>
    <row r="390" spans="1:21" ht="15.75" customHeight="1">
      <c r="A390" s="23">
        <v>375</v>
      </c>
      <c r="B390" s="23" t="s">
        <v>475</v>
      </c>
      <c r="C390" s="23" t="s">
        <v>88</v>
      </c>
      <c r="D390" s="23" t="s">
        <v>58</v>
      </c>
      <c r="E390" s="24" t="s">
        <v>29</v>
      </c>
      <c r="F390" s="21">
        <v>10000</v>
      </c>
      <c r="G390" s="22">
        <v>0</v>
      </c>
      <c r="H390" s="22">
        <v>25</v>
      </c>
      <c r="I390" s="22">
        <v>0</v>
      </c>
      <c r="J390" s="22">
        <f>1000+300+2078.14</f>
        <v>3378.14</v>
      </c>
      <c r="K390" s="22">
        <f>F390*2.87%</f>
        <v>287</v>
      </c>
      <c r="L390" s="22">
        <f>F390*7.1%</f>
        <v>709.99999999999989</v>
      </c>
      <c r="M390" s="22">
        <v>130</v>
      </c>
      <c r="N390" s="22">
        <v>304</v>
      </c>
      <c r="O390" s="22">
        <v>709</v>
      </c>
      <c r="P390" s="22">
        <v>0</v>
      </c>
      <c r="Q390" s="21">
        <f>K390+N390</f>
        <v>591</v>
      </c>
      <c r="R390" s="21">
        <f>G390+H390+I390+J390+K390+N390+P390</f>
        <v>3994.14</v>
      </c>
      <c r="S390" s="21">
        <f>L390+M390+O390</f>
        <v>1549</v>
      </c>
      <c r="T390" s="21">
        <f>F390-R390</f>
        <v>6005.8600000000006</v>
      </c>
      <c r="U390" s="24" t="s">
        <v>36</v>
      </c>
    </row>
    <row r="391" spans="1:21" ht="15.75" customHeight="1">
      <c r="A391" s="19">
        <v>376</v>
      </c>
      <c r="B391" s="23" t="s">
        <v>476</v>
      </c>
      <c r="C391" s="23" t="s">
        <v>68</v>
      </c>
      <c r="D391" s="23" t="s">
        <v>41</v>
      </c>
      <c r="E391" s="24" t="s">
        <v>29</v>
      </c>
      <c r="F391" s="21">
        <v>25000</v>
      </c>
      <c r="G391" s="22">
        <v>0</v>
      </c>
      <c r="H391" s="22">
        <v>25</v>
      </c>
      <c r="I391" s="22">
        <v>0</v>
      </c>
      <c r="J391" s="22">
        <f>1000+300+2832.16</f>
        <v>4132.16</v>
      </c>
      <c r="K391" s="22">
        <f>F391*2.87%</f>
        <v>717.5</v>
      </c>
      <c r="L391" s="22">
        <f>F391*7.1%</f>
        <v>1774.9999999999998</v>
      </c>
      <c r="M391" s="22">
        <v>325</v>
      </c>
      <c r="N391" s="22">
        <v>760</v>
      </c>
      <c r="O391" s="22">
        <v>1772.5000000000002</v>
      </c>
      <c r="P391" s="22">
        <v>0</v>
      </c>
      <c r="Q391" s="21">
        <f>K391+N391</f>
        <v>1477.5</v>
      </c>
      <c r="R391" s="21">
        <f>G391+H391+I391+J391+K391+N391+P391</f>
        <v>5634.66</v>
      </c>
      <c r="S391" s="21">
        <f>L391+M391+O391</f>
        <v>3872.5</v>
      </c>
      <c r="T391" s="21">
        <f>F391-R391</f>
        <v>19365.34</v>
      </c>
      <c r="U391" s="24" t="s">
        <v>36</v>
      </c>
    </row>
    <row r="392" spans="1:21" ht="15.75" customHeight="1">
      <c r="A392" s="23">
        <v>377</v>
      </c>
      <c r="B392" s="23" t="s">
        <v>477</v>
      </c>
      <c r="C392" s="23" t="s">
        <v>66</v>
      </c>
      <c r="D392" s="23" t="s">
        <v>78</v>
      </c>
      <c r="E392" s="24" t="s">
        <v>29</v>
      </c>
      <c r="F392" s="21">
        <v>20000</v>
      </c>
      <c r="G392" s="22">
        <v>0</v>
      </c>
      <c r="H392" s="22">
        <v>25</v>
      </c>
      <c r="I392" s="22">
        <v>0</v>
      </c>
      <c r="J392" s="22">
        <v>0</v>
      </c>
      <c r="K392" s="22">
        <f>F392*2.87%</f>
        <v>574</v>
      </c>
      <c r="L392" s="22">
        <f>F392*7.1%</f>
        <v>1419.9999999999998</v>
      </c>
      <c r="M392" s="22">
        <v>260</v>
      </c>
      <c r="N392" s="22">
        <v>608</v>
      </c>
      <c r="O392" s="22">
        <v>1418</v>
      </c>
      <c r="P392" s="22">
        <v>0</v>
      </c>
      <c r="Q392" s="21">
        <f>K392+N392</f>
        <v>1182</v>
      </c>
      <c r="R392" s="21">
        <f>G392+H392+I392+J392+K392+N392+P392</f>
        <v>1207</v>
      </c>
      <c r="S392" s="21">
        <f>L392+M392+O392</f>
        <v>3098</v>
      </c>
      <c r="T392" s="21">
        <f>F392-R392</f>
        <v>18793</v>
      </c>
      <c r="U392" s="24" t="s">
        <v>30</v>
      </c>
    </row>
    <row r="393" spans="1:21" ht="15.75" customHeight="1">
      <c r="A393" s="23">
        <v>378</v>
      </c>
      <c r="B393" s="23" t="s">
        <v>478</v>
      </c>
      <c r="C393" s="23" t="s">
        <v>88</v>
      </c>
      <c r="D393" s="23" t="s">
        <v>61</v>
      </c>
      <c r="E393" s="24" t="s">
        <v>29</v>
      </c>
      <c r="F393" s="21">
        <v>15000</v>
      </c>
      <c r="G393" s="22">
        <v>0</v>
      </c>
      <c r="H393" s="22">
        <v>25</v>
      </c>
      <c r="I393" s="22">
        <v>0</v>
      </c>
      <c r="J393" s="22">
        <v>0</v>
      </c>
      <c r="K393" s="22">
        <f>F393*2.87%</f>
        <v>430.5</v>
      </c>
      <c r="L393" s="22">
        <f>F393*7.1%</f>
        <v>1065</v>
      </c>
      <c r="M393" s="22">
        <v>195</v>
      </c>
      <c r="N393" s="22">
        <v>456</v>
      </c>
      <c r="O393" s="22">
        <v>1063.5</v>
      </c>
      <c r="P393" s="22">
        <v>0</v>
      </c>
      <c r="Q393" s="21">
        <f>K393+N393</f>
        <v>886.5</v>
      </c>
      <c r="R393" s="21">
        <f>G393+H393+I393+J393+K393+N393+P393</f>
        <v>911.5</v>
      </c>
      <c r="S393" s="21">
        <f>L393+M393+O393</f>
        <v>2323.5</v>
      </c>
      <c r="T393" s="21">
        <f>F393-R393</f>
        <v>14088.5</v>
      </c>
      <c r="U393" s="24" t="s">
        <v>30</v>
      </c>
    </row>
    <row r="394" spans="1:21" ht="15.75" customHeight="1">
      <c r="A394" s="19">
        <v>379</v>
      </c>
      <c r="B394" s="23" t="s">
        <v>479</v>
      </c>
      <c r="C394" s="23" t="s">
        <v>68</v>
      </c>
      <c r="D394" s="23" t="s">
        <v>480</v>
      </c>
      <c r="E394" s="30" t="s">
        <v>29</v>
      </c>
      <c r="F394" s="21">
        <v>18000</v>
      </c>
      <c r="G394" s="22">
        <v>0</v>
      </c>
      <c r="H394" s="22">
        <v>25</v>
      </c>
      <c r="I394" s="22">
        <v>0</v>
      </c>
      <c r="J394" s="22">
        <v>0</v>
      </c>
      <c r="K394" s="22">
        <f>F394*2.87%</f>
        <v>516.6</v>
      </c>
      <c r="L394" s="22">
        <f>F394*7.1%</f>
        <v>1277.9999999999998</v>
      </c>
      <c r="M394" s="22">
        <v>234</v>
      </c>
      <c r="N394" s="22">
        <v>547.20000000000005</v>
      </c>
      <c r="O394" s="22">
        <v>1276.2</v>
      </c>
      <c r="P394" s="22">
        <v>0</v>
      </c>
      <c r="Q394" s="21">
        <f>K394+N394</f>
        <v>1063.8000000000002</v>
      </c>
      <c r="R394" s="21">
        <f>G394+H394+I394+J394+K394+N394+P394</f>
        <v>1088.8000000000002</v>
      </c>
      <c r="S394" s="21">
        <f>L394+M394+O394</f>
        <v>2788.2</v>
      </c>
      <c r="T394" s="21">
        <f>F394-R394</f>
        <v>16911.2</v>
      </c>
      <c r="U394" s="24" t="s">
        <v>36</v>
      </c>
    </row>
    <row r="395" spans="1:21" ht="15.75" customHeight="1">
      <c r="A395" s="23">
        <v>380</v>
      </c>
      <c r="B395" s="23" t="s">
        <v>481</v>
      </c>
      <c r="C395" s="23" t="s">
        <v>66</v>
      </c>
      <c r="D395" s="23" t="s">
        <v>61</v>
      </c>
      <c r="E395" s="24" t="s">
        <v>29</v>
      </c>
      <c r="F395" s="21">
        <v>30000</v>
      </c>
      <c r="G395" s="22">
        <v>0</v>
      </c>
      <c r="H395" s="22">
        <v>25</v>
      </c>
      <c r="I395" s="22">
        <v>0</v>
      </c>
      <c r="J395" s="22">
        <v>0</v>
      </c>
      <c r="K395" s="22">
        <f>F395*2.87%</f>
        <v>861</v>
      </c>
      <c r="L395" s="22">
        <f>F395*7.1%</f>
        <v>2130</v>
      </c>
      <c r="M395" s="22">
        <v>390</v>
      </c>
      <c r="N395" s="22">
        <v>912</v>
      </c>
      <c r="O395" s="22">
        <v>2127</v>
      </c>
      <c r="P395" s="22">
        <v>0</v>
      </c>
      <c r="Q395" s="21">
        <f>K395+N395</f>
        <v>1773</v>
      </c>
      <c r="R395" s="21">
        <f>G395+H395+I395+J395+K395+N395+P395</f>
        <v>1798</v>
      </c>
      <c r="S395" s="21">
        <f>L395+M395+O395</f>
        <v>4647</v>
      </c>
      <c r="T395" s="21">
        <f>F395-R395</f>
        <v>28202</v>
      </c>
      <c r="U395" s="24" t="s">
        <v>36</v>
      </c>
    </row>
    <row r="396" spans="1:21" ht="15.75" customHeight="1">
      <c r="A396" s="23">
        <v>381</v>
      </c>
      <c r="B396" s="23" t="s">
        <v>482</v>
      </c>
      <c r="C396" s="23" t="s">
        <v>68</v>
      </c>
      <c r="D396" s="23" t="s">
        <v>55</v>
      </c>
      <c r="E396" s="24" t="s">
        <v>29</v>
      </c>
      <c r="F396" s="21">
        <v>12000</v>
      </c>
      <c r="G396" s="22">
        <v>0</v>
      </c>
      <c r="H396" s="22">
        <v>25</v>
      </c>
      <c r="I396" s="22">
        <v>0</v>
      </c>
      <c r="J396" s="22">
        <v>0</v>
      </c>
      <c r="K396" s="22">
        <f>F396*2.87%</f>
        <v>344.4</v>
      </c>
      <c r="L396" s="22">
        <f>F396*7.1%</f>
        <v>851.99999999999989</v>
      </c>
      <c r="M396" s="22">
        <v>156</v>
      </c>
      <c r="N396" s="22">
        <v>364.8</v>
      </c>
      <c r="O396" s="22">
        <v>850.80000000000007</v>
      </c>
      <c r="P396" s="22">
        <v>0</v>
      </c>
      <c r="Q396" s="21">
        <f>K396+N396</f>
        <v>709.2</v>
      </c>
      <c r="R396" s="21">
        <f>G396+H396+I396+J396+K396+N396+P396</f>
        <v>734.2</v>
      </c>
      <c r="S396" s="21">
        <f>L396+M396+O396</f>
        <v>1858.8</v>
      </c>
      <c r="T396" s="21">
        <f>F396-R396</f>
        <v>11265.8</v>
      </c>
      <c r="U396" s="24" t="s">
        <v>36</v>
      </c>
    </row>
    <row r="397" spans="1:21" ht="15.75" customHeight="1">
      <c r="A397" s="19">
        <v>382</v>
      </c>
      <c r="B397" s="23" t="s">
        <v>483</v>
      </c>
      <c r="C397" s="23" t="s">
        <v>77</v>
      </c>
      <c r="D397" s="23" t="s">
        <v>61</v>
      </c>
      <c r="E397" s="24" t="s">
        <v>29</v>
      </c>
      <c r="F397" s="21">
        <v>10000</v>
      </c>
      <c r="G397" s="22">
        <v>0</v>
      </c>
      <c r="H397" s="22">
        <v>25</v>
      </c>
      <c r="I397" s="22">
        <v>0</v>
      </c>
      <c r="J397" s="22">
        <v>0</v>
      </c>
      <c r="K397" s="22">
        <f>F397*2.87%</f>
        <v>287</v>
      </c>
      <c r="L397" s="22">
        <f>F397*7.1%</f>
        <v>709.99999999999989</v>
      </c>
      <c r="M397" s="22">
        <v>130</v>
      </c>
      <c r="N397" s="22">
        <v>304</v>
      </c>
      <c r="O397" s="22">
        <v>709</v>
      </c>
      <c r="P397" s="22">
        <v>0</v>
      </c>
      <c r="Q397" s="21">
        <f>K397+N397</f>
        <v>591</v>
      </c>
      <c r="R397" s="21">
        <f>G397+H397+I397+J397+K397+N397+P397</f>
        <v>616</v>
      </c>
      <c r="S397" s="21">
        <f>L397+M397+O397</f>
        <v>1549</v>
      </c>
      <c r="T397" s="21">
        <f>F397-R397</f>
        <v>9384</v>
      </c>
      <c r="U397" s="24" t="s">
        <v>36</v>
      </c>
    </row>
    <row r="398" spans="1:21" ht="15.75" customHeight="1">
      <c r="A398" s="23">
        <v>383</v>
      </c>
      <c r="B398" s="23" t="s">
        <v>484</v>
      </c>
      <c r="C398" s="23" t="s">
        <v>77</v>
      </c>
      <c r="D398" s="23" t="s">
        <v>61</v>
      </c>
      <c r="E398" s="24" t="s">
        <v>29</v>
      </c>
      <c r="F398" s="21">
        <v>11000</v>
      </c>
      <c r="G398" s="22">
        <v>0</v>
      </c>
      <c r="H398" s="22">
        <v>25</v>
      </c>
      <c r="I398" s="22">
        <v>0</v>
      </c>
      <c r="J398" s="22">
        <v>0</v>
      </c>
      <c r="K398" s="22">
        <f>F398*2.87%</f>
        <v>315.7</v>
      </c>
      <c r="L398" s="22">
        <f>F398*7.1%</f>
        <v>780.99999999999989</v>
      </c>
      <c r="M398" s="22">
        <v>143</v>
      </c>
      <c r="N398" s="22">
        <v>334.4</v>
      </c>
      <c r="O398" s="22">
        <v>779.90000000000009</v>
      </c>
      <c r="P398" s="22">
        <v>0</v>
      </c>
      <c r="Q398" s="21">
        <f>K398+N398</f>
        <v>650.09999999999991</v>
      </c>
      <c r="R398" s="21">
        <f>G398+H398+I398+J398+K398+N398+P398</f>
        <v>675.09999999999991</v>
      </c>
      <c r="S398" s="21">
        <f>L398+M398+O398</f>
        <v>1703.9</v>
      </c>
      <c r="T398" s="21">
        <f>F398-R398</f>
        <v>10324.9</v>
      </c>
      <c r="U398" s="24" t="s">
        <v>36</v>
      </c>
    </row>
    <row r="399" spans="1:21" ht="15.75" customHeight="1">
      <c r="A399" s="23">
        <v>384</v>
      </c>
      <c r="B399" s="23" t="s">
        <v>485</v>
      </c>
      <c r="C399" s="25" t="s">
        <v>303</v>
      </c>
      <c r="D399" s="23" t="s">
        <v>69</v>
      </c>
      <c r="E399" s="24" t="s">
        <v>29</v>
      </c>
      <c r="F399" s="21">
        <v>17000</v>
      </c>
      <c r="G399" s="22">
        <v>0</v>
      </c>
      <c r="H399" s="22">
        <v>25</v>
      </c>
      <c r="I399" s="22">
        <v>0</v>
      </c>
      <c r="J399" s="22">
        <v>0</v>
      </c>
      <c r="K399" s="22">
        <f>F399*2.87%</f>
        <v>487.9</v>
      </c>
      <c r="L399" s="22">
        <f>F399*7.1%</f>
        <v>1207</v>
      </c>
      <c r="M399" s="22">
        <v>221</v>
      </c>
      <c r="N399" s="22">
        <v>516.79999999999995</v>
      </c>
      <c r="O399" s="22">
        <v>1205.3000000000002</v>
      </c>
      <c r="P399" s="22">
        <v>0</v>
      </c>
      <c r="Q399" s="21">
        <f>K399+N399</f>
        <v>1004.6999999999999</v>
      </c>
      <c r="R399" s="21">
        <f>G399+H399+I399+J399+K399+N399+P399</f>
        <v>1029.6999999999998</v>
      </c>
      <c r="S399" s="21">
        <f>L399+M399+O399</f>
        <v>2633.3</v>
      </c>
      <c r="T399" s="21">
        <f>F399-R399</f>
        <v>15970.3</v>
      </c>
      <c r="U399" s="24" t="s">
        <v>36</v>
      </c>
    </row>
    <row r="400" spans="1:21" ht="15.75" customHeight="1">
      <c r="A400" s="19">
        <v>385</v>
      </c>
      <c r="B400" s="23" t="s">
        <v>486</v>
      </c>
      <c r="C400" s="25" t="s">
        <v>71</v>
      </c>
      <c r="D400" s="23" t="s">
        <v>72</v>
      </c>
      <c r="E400" s="24" t="s">
        <v>29</v>
      </c>
      <c r="F400" s="21">
        <v>10000</v>
      </c>
      <c r="G400" s="22">
        <v>0</v>
      </c>
      <c r="H400" s="22">
        <v>25</v>
      </c>
      <c r="I400" s="22">
        <v>0</v>
      </c>
      <c r="J400" s="22">
        <v>0</v>
      </c>
      <c r="K400" s="22">
        <f>F400*2.87%</f>
        <v>287</v>
      </c>
      <c r="L400" s="22">
        <f>F400*7.1%</f>
        <v>709.99999999999989</v>
      </c>
      <c r="M400" s="22">
        <v>130</v>
      </c>
      <c r="N400" s="22">
        <v>304</v>
      </c>
      <c r="O400" s="22">
        <v>709</v>
      </c>
      <c r="P400" s="22">
        <v>0</v>
      </c>
      <c r="Q400" s="21">
        <f>K400+N400</f>
        <v>591</v>
      </c>
      <c r="R400" s="21">
        <f>G400+H400+I400+J400+K400+N400+P400</f>
        <v>616</v>
      </c>
      <c r="S400" s="21">
        <f>L400+M400+O400</f>
        <v>1549</v>
      </c>
      <c r="T400" s="21">
        <f>F400-R400</f>
        <v>9384</v>
      </c>
      <c r="U400" s="24" t="s">
        <v>36</v>
      </c>
    </row>
    <row r="401" spans="1:21" ht="15.75" customHeight="1">
      <c r="A401" s="23">
        <v>386</v>
      </c>
      <c r="B401" s="23" t="s">
        <v>487</v>
      </c>
      <c r="C401" s="25" t="s">
        <v>71</v>
      </c>
      <c r="D401" s="23" t="s">
        <v>72</v>
      </c>
      <c r="E401" s="24" t="s">
        <v>29</v>
      </c>
      <c r="F401" s="21">
        <v>15000</v>
      </c>
      <c r="G401" s="22">
        <v>0</v>
      </c>
      <c r="H401" s="22">
        <v>25</v>
      </c>
      <c r="I401" s="22">
        <v>0</v>
      </c>
      <c r="J401" s="22">
        <f>1000+300+3951.22</f>
        <v>5251.2199999999993</v>
      </c>
      <c r="K401" s="22">
        <f>F401*2.87%</f>
        <v>430.5</v>
      </c>
      <c r="L401" s="22">
        <f>F401*7.1%</f>
        <v>1065</v>
      </c>
      <c r="M401" s="22">
        <v>195</v>
      </c>
      <c r="N401" s="22">
        <v>456</v>
      </c>
      <c r="O401" s="22">
        <v>1063.5</v>
      </c>
      <c r="P401" s="22">
        <v>0</v>
      </c>
      <c r="Q401" s="21">
        <f>K401+N401</f>
        <v>886.5</v>
      </c>
      <c r="R401" s="21">
        <f>G401+H401+I401+J401+K401+N401+P401</f>
        <v>6162.7199999999993</v>
      </c>
      <c r="S401" s="21">
        <f>L401+M401+O401</f>
        <v>2323.5</v>
      </c>
      <c r="T401" s="21">
        <f>F401-R401</f>
        <v>8837.2800000000007</v>
      </c>
      <c r="U401" s="24" t="s">
        <v>36</v>
      </c>
    </row>
    <row r="402" spans="1:21" ht="15.75" customHeight="1">
      <c r="A402" s="23">
        <v>387</v>
      </c>
      <c r="B402" s="23" t="s">
        <v>488</v>
      </c>
      <c r="C402" s="25" t="s">
        <v>71</v>
      </c>
      <c r="D402" s="23" t="s">
        <v>72</v>
      </c>
      <c r="E402" s="24" t="s">
        <v>29</v>
      </c>
      <c r="F402" s="21">
        <v>15000</v>
      </c>
      <c r="G402" s="22">
        <v>0</v>
      </c>
      <c r="H402" s="22">
        <v>25</v>
      </c>
      <c r="I402" s="22">
        <v>0</v>
      </c>
      <c r="J402" s="22">
        <v>0</v>
      </c>
      <c r="K402" s="22">
        <f>F402*2.87%</f>
        <v>430.5</v>
      </c>
      <c r="L402" s="22">
        <f>F402*7.1%</f>
        <v>1065</v>
      </c>
      <c r="M402" s="22">
        <v>195</v>
      </c>
      <c r="N402" s="22">
        <v>456</v>
      </c>
      <c r="O402" s="22">
        <v>1063.5</v>
      </c>
      <c r="P402" s="22">
        <v>0</v>
      </c>
      <c r="Q402" s="21">
        <f>K402+N402</f>
        <v>886.5</v>
      </c>
      <c r="R402" s="21">
        <f>G402+H402+I402+J402+K402+N402+P402</f>
        <v>911.5</v>
      </c>
      <c r="S402" s="21">
        <f>L402+M402+O402</f>
        <v>2323.5</v>
      </c>
      <c r="T402" s="21">
        <f>F402-R402</f>
        <v>14088.5</v>
      </c>
      <c r="U402" s="24" t="s">
        <v>36</v>
      </c>
    </row>
    <row r="403" spans="1:21" ht="15.75" customHeight="1">
      <c r="A403" s="19">
        <v>388</v>
      </c>
      <c r="B403" s="23" t="s">
        <v>489</v>
      </c>
      <c r="C403" s="25" t="s">
        <v>60</v>
      </c>
      <c r="D403" s="23" t="s">
        <v>72</v>
      </c>
      <c r="E403" s="24" t="s">
        <v>29</v>
      </c>
      <c r="F403" s="21">
        <v>22000</v>
      </c>
      <c r="G403" s="22">
        <v>0</v>
      </c>
      <c r="H403" s="22">
        <v>25</v>
      </c>
      <c r="I403" s="22">
        <v>0</v>
      </c>
      <c r="J403" s="22">
        <v>0</v>
      </c>
      <c r="K403" s="22">
        <f>F403*2.87%</f>
        <v>631.4</v>
      </c>
      <c r="L403" s="22">
        <f>F403*7.1%</f>
        <v>1561.9999999999998</v>
      </c>
      <c r="M403" s="22">
        <v>286</v>
      </c>
      <c r="N403" s="22">
        <v>668.8</v>
      </c>
      <c r="O403" s="22">
        <v>1559.8000000000002</v>
      </c>
      <c r="P403" s="22">
        <v>0</v>
      </c>
      <c r="Q403" s="21">
        <f>K403+N403</f>
        <v>1300.1999999999998</v>
      </c>
      <c r="R403" s="21">
        <f>G403+H403+I403+J403+K403+N403+P403</f>
        <v>1325.1999999999998</v>
      </c>
      <c r="S403" s="21">
        <f>L403+M403+O403</f>
        <v>3407.8</v>
      </c>
      <c r="T403" s="21">
        <f>F403-R403</f>
        <v>20674.8</v>
      </c>
      <c r="U403" s="24" t="s">
        <v>36</v>
      </c>
    </row>
    <row r="404" spans="1:21" ht="15.75" customHeight="1">
      <c r="A404" s="23">
        <v>389</v>
      </c>
      <c r="B404" s="23" t="s">
        <v>490</v>
      </c>
      <c r="C404" s="25" t="s">
        <v>48</v>
      </c>
      <c r="D404" s="23" t="s">
        <v>78</v>
      </c>
      <c r="E404" s="24" t="s">
        <v>29</v>
      </c>
      <c r="F404" s="21">
        <v>18000</v>
      </c>
      <c r="G404" s="22">
        <v>0</v>
      </c>
      <c r="H404" s="22">
        <v>25</v>
      </c>
      <c r="I404" s="22">
        <v>0</v>
      </c>
      <c r="J404" s="22">
        <v>0</v>
      </c>
      <c r="K404" s="22">
        <f>F404*2.87%</f>
        <v>516.6</v>
      </c>
      <c r="L404" s="22">
        <f>F404*7.1%</f>
        <v>1277.9999999999998</v>
      </c>
      <c r="M404" s="22">
        <v>234</v>
      </c>
      <c r="N404" s="22">
        <v>547.20000000000005</v>
      </c>
      <c r="O404" s="22">
        <v>1276.2</v>
      </c>
      <c r="P404" s="22">
        <v>0</v>
      </c>
      <c r="Q404" s="21">
        <f>K404+N404</f>
        <v>1063.8000000000002</v>
      </c>
      <c r="R404" s="21">
        <f>G404+H404+I404+J404+K404+N404+P404</f>
        <v>1088.8000000000002</v>
      </c>
      <c r="S404" s="21">
        <f>L404+M404+O404</f>
        <v>2788.2</v>
      </c>
      <c r="T404" s="21">
        <f>F404-R404</f>
        <v>16911.2</v>
      </c>
      <c r="U404" s="24" t="s">
        <v>36</v>
      </c>
    </row>
    <row r="405" spans="1:21" ht="15.75" customHeight="1">
      <c r="A405" s="23">
        <v>390</v>
      </c>
      <c r="B405" s="23" t="s">
        <v>491</v>
      </c>
      <c r="C405" s="25" t="s">
        <v>68</v>
      </c>
      <c r="D405" s="23" t="s">
        <v>86</v>
      </c>
      <c r="E405" s="24" t="s">
        <v>29</v>
      </c>
      <c r="F405" s="21">
        <v>20000</v>
      </c>
      <c r="G405" s="22">
        <v>0</v>
      </c>
      <c r="H405" s="22">
        <v>25</v>
      </c>
      <c r="I405" s="22">
        <v>0</v>
      </c>
      <c r="J405" s="22">
        <v>0</v>
      </c>
      <c r="K405" s="22">
        <f>F405*2.87%</f>
        <v>574</v>
      </c>
      <c r="L405" s="22">
        <f>F405*7.1%</f>
        <v>1419.9999999999998</v>
      </c>
      <c r="M405" s="22">
        <v>260</v>
      </c>
      <c r="N405" s="22">
        <v>608</v>
      </c>
      <c r="O405" s="22">
        <v>1418</v>
      </c>
      <c r="P405" s="22">
        <v>3174.76</v>
      </c>
      <c r="Q405" s="21">
        <f>K405+N405</f>
        <v>1182</v>
      </c>
      <c r="R405" s="21">
        <f>G405+H405+I405+J405+K405+N405+P405</f>
        <v>4381.76</v>
      </c>
      <c r="S405" s="21">
        <f>L405+M405+O405</f>
        <v>3098</v>
      </c>
      <c r="T405" s="21">
        <f>F405-R405</f>
        <v>15618.24</v>
      </c>
      <c r="U405" s="24" t="s">
        <v>36</v>
      </c>
    </row>
    <row r="406" spans="1:21" ht="15.75" customHeight="1">
      <c r="A406" s="19">
        <v>391</v>
      </c>
      <c r="B406" s="23" t="s">
        <v>492</v>
      </c>
      <c r="C406" s="25" t="s">
        <v>48</v>
      </c>
      <c r="D406" s="23" t="s">
        <v>138</v>
      </c>
      <c r="E406" s="24" t="s">
        <v>29</v>
      </c>
      <c r="F406" s="21">
        <v>25000</v>
      </c>
      <c r="G406" s="22">
        <v>0</v>
      </c>
      <c r="H406" s="22">
        <v>25</v>
      </c>
      <c r="I406" s="22">
        <v>0</v>
      </c>
      <c r="J406" s="22">
        <v>0</v>
      </c>
      <c r="K406" s="22">
        <f>F406*2.87%</f>
        <v>717.5</v>
      </c>
      <c r="L406" s="22">
        <f>F406*7.1%</f>
        <v>1774.9999999999998</v>
      </c>
      <c r="M406" s="22">
        <v>325</v>
      </c>
      <c r="N406" s="22">
        <v>760</v>
      </c>
      <c r="O406" s="22">
        <v>1772.5000000000002</v>
      </c>
      <c r="P406" s="22">
        <v>0</v>
      </c>
      <c r="Q406" s="21">
        <f>K406+N406</f>
        <v>1477.5</v>
      </c>
      <c r="R406" s="21">
        <f>G406+H406+I406+J406+K406+N406+P406</f>
        <v>1502.5</v>
      </c>
      <c r="S406" s="21">
        <f>L406+M406+O406</f>
        <v>3872.5</v>
      </c>
      <c r="T406" s="21">
        <f>F406-R406</f>
        <v>23497.5</v>
      </c>
      <c r="U406" s="24" t="s">
        <v>36</v>
      </c>
    </row>
    <row r="407" spans="1:21" ht="15.75" customHeight="1">
      <c r="A407" s="23">
        <v>392</v>
      </c>
      <c r="B407" s="23" t="s">
        <v>493</v>
      </c>
      <c r="C407" s="25" t="s">
        <v>48</v>
      </c>
      <c r="D407" s="23" t="s">
        <v>64</v>
      </c>
      <c r="E407" s="30" t="s">
        <v>29</v>
      </c>
      <c r="F407" s="21">
        <v>25000</v>
      </c>
      <c r="G407" s="22">
        <v>0</v>
      </c>
      <c r="H407" s="22">
        <v>25</v>
      </c>
      <c r="I407" s="22">
        <v>0</v>
      </c>
      <c r="J407" s="22">
        <v>0</v>
      </c>
      <c r="K407" s="22">
        <f>F407*2.87%</f>
        <v>717.5</v>
      </c>
      <c r="L407" s="22">
        <f>F407*7.1%</f>
        <v>1774.9999999999998</v>
      </c>
      <c r="M407" s="22">
        <v>325</v>
      </c>
      <c r="N407" s="22">
        <v>760</v>
      </c>
      <c r="O407" s="22">
        <v>1772.5000000000002</v>
      </c>
      <c r="P407" s="22">
        <v>0</v>
      </c>
      <c r="Q407" s="21">
        <f>K407+N407</f>
        <v>1477.5</v>
      </c>
      <c r="R407" s="21">
        <f>G407+H407+I407+J407+K407+N407+P407</f>
        <v>1502.5</v>
      </c>
      <c r="S407" s="21">
        <f>L407+M407+O407</f>
        <v>3872.5</v>
      </c>
      <c r="T407" s="21">
        <f>F407-R407</f>
        <v>23497.5</v>
      </c>
      <c r="U407" s="24" t="s">
        <v>36</v>
      </c>
    </row>
    <row r="408" spans="1:21" ht="15.75" customHeight="1">
      <c r="A408" s="23">
        <v>393</v>
      </c>
      <c r="B408" s="23" t="s">
        <v>494</v>
      </c>
      <c r="C408" s="26" t="s">
        <v>495</v>
      </c>
      <c r="D408" s="31" t="s">
        <v>72</v>
      </c>
      <c r="E408" s="27" t="s">
        <v>29</v>
      </c>
      <c r="F408" s="21">
        <v>12000</v>
      </c>
      <c r="G408" s="22">
        <v>0</v>
      </c>
      <c r="H408" s="22">
        <v>25</v>
      </c>
      <c r="I408" s="22">
        <v>0</v>
      </c>
      <c r="J408" s="22">
        <v>0</v>
      </c>
      <c r="K408" s="22">
        <f>F408*2.87%</f>
        <v>344.4</v>
      </c>
      <c r="L408" s="22">
        <f>F408*7.1%</f>
        <v>851.99999999999989</v>
      </c>
      <c r="M408" s="22">
        <v>156</v>
      </c>
      <c r="N408" s="22">
        <v>364.8</v>
      </c>
      <c r="O408" s="22">
        <v>850.80000000000007</v>
      </c>
      <c r="P408" s="22">
        <v>0</v>
      </c>
      <c r="Q408" s="21">
        <f>K408+N408</f>
        <v>709.2</v>
      </c>
      <c r="R408" s="21">
        <f>G408+H408+I408+J408+K408+N408+P408</f>
        <v>734.2</v>
      </c>
      <c r="S408" s="21">
        <f>L408+M408+O408</f>
        <v>1858.8</v>
      </c>
      <c r="T408" s="21">
        <f>F408-R408</f>
        <v>11265.8</v>
      </c>
      <c r="U408" s="24" t="s">
        <v>36</v>
      </c>
    </row>
    <row r="409" spans="1:21" ht="15.75" customHeight="1">
      <c r="A409" s="19">
        <v>394</v>
      </c>
      <c r="B409" s="23" t="s">
        <v>496</v>
      </c>
      <c r="C409" s="26" t="s">
        <v>88</v>
      </c>
      <c r="D409" s="31" t="s">
        <v>58</v>
      </c>
      <c r="E409" s="27" t="s">
        <v>29</v>
      </c>
      <c r="F409" s="21">
        <v>15000</v>
      </c>
      <c r="G409" s="22">
        <v>0</v>
      </c>
      <c r="H409" s="22">
        <v>25</v>
      </c>
      <c r="I409" s="22">
        <v>0</v>
      </c>
      <c r="J409" s="22">
        <v>0</v>
      </c>
      <c r="K409" s="22">
        <f>F409*2.87%</f>
        <v>430.5</v>
      </c>
      <c r="L409" s="22">
        <f>F409*7.1%</f>
        <v>1065</v>
      </c>
      <c r="M409" s="22">
        <v>195</v>
      </c>
      <c r="N409" s="22">
        <v>456</v>
      </c>
      <c r="O409" s="22">
        <v>1063.5</v>
      </c>
      <c r="P409" s="22">
        <v>0</v>
      </c>
      <c r="Q409" s="21">
        <f>K409+N409</f>
        <v>886.5</v>
      </c>
      <c r="R409" s="21">
        <f>G409+H409+I409+J409+K409+N409+P409</f>
        <v>911.5</v>
      </c>
      <c r="S409" s="21">
        <f>L409+M409+O409</f>
        <v>2323.5</v>
      </c>
      <c r="T409" s="21">
        <f>F409-R409</f>
        <v>14088.5</v>
      </c>
      <c r="U409" s="24" t="s">
        <v>36</v>
      </c>
    </row>
    <row r="410" spans="1:21" ht="15.75" customHeight="1">
      <c r="A410" s="23">
        <v>395</v>
      </c>
      <c r="B410" s="23" t="s">
        <v>497</v>
      </c>
      <c r="C410" s="26" t="s">
        <v>240</v>
      </c>
      <c r="D410" s="31" t="s">
        <v>72</v>
      </c>
      <c r="E410" s="24" t="s">
        <v>29</v>
      </c>
      <c r="F410" s="21">
        <v>11000</v>
      </c>
      <c r="G410" s="22">
        <v>0</v>
      </c>
      <c r="H410" s="22">
        <v>25</v>
      </c>
      <c r="I410" s="22">
        <v>0</v>
      </c>
      <c r="J410" s="22">
        <v>0</v>
      </c>
      <c r="K410" s="22">
        <f>F410*2.87%</f>
        <v>315.7</v>
      </c>
      <c r="L410" s="22">
        <f>F410*7.1%</f>
        <v>780.99999999999989</v>
      </c>
      <c r="M410" s="22">
        <v>143</v>
      </c>
      <c r="N410" s="22">
        <v>334.4</v>
      </c>
      <c r="O410" s="22">
        <v>779.90000000000009</v>
      </c>
      <c r="P410" s="22">
        <v>0</v>
      </c>
      <c r="Q410" s="21">
        <f>K410+N410</f>
        <v>650.09999999999991</v>
      </c>
      <c r="R410" s="21">
        <f>G410+H410+I410+J410+K410+N410+P410</f>
        <v>675.09999999999991</v>
      </c>
      <c r="S410" s="21">
        <f>L410+M410+O410</f>
        <v>1703.9</v>
      </c>
      <c r="T410" s="21">
        <f>F410-R410</f>
        <v>10324.9</v>
      </c>
      <c r="U410" s="24" t="s">
        <v>36</v>
      </c>
    </row>
    <row r="411" spans="1:21" ht="15.75" customHeight="1">
      <c r="A411" s="23">
        <v>396</v>
      </c>
      <c r="B411" s="23" t="s">
        <v>498</v>
      </c>
      <c r="C411" s="26" t="s">
        <v>68</v>
      </c>
      <c r="D411" s="31" t="s">
        <v>81</v>
      </c>
      <c r="E411" s="27" t="s">
        <v>29</v>
      </c>
      <c r="F411" s="21">
        <v>25000</v>
      </c>
      <c r="G411" s="22">
        <v>0</v>
      </c>
      <c r="H411" s="22">
        <v>25</v>
      </c>
      <c r="I411" s="22">
        <v>0</v>
      </c>
      <c r="J411" s="22">
        <v>0</v>
      </c>
      <c r="K411" s="22">
        <f>F411*2.87%</f>
        <v>717.5</v>
      </c>
      <c r="L411" s="22">
        <f>F411*7.1%</f>
        <v>1774.9999999999998</v>
      </c>
      <c r="M411" s="22">
        <v>325</v>
      </c>
      <c r="N411" s="22">
        <v>760</v>
      </c>
      <c r="O411" s="22">
        <v>1772.5000000000002</v>
      </c>
      <c r="P411" s="22">
        <v>0</v>
      </c>
      <c r="Q411" s="21">
        <f>K411+N411</f>
        <v>1477.5</v>
      </c>
      <c r="R411" s="21">
        <f>G411+H411+I411+J411+K411+N411+P411</f>
        <v>1502.5</v>
      </c>
      <c r="S411" s="21">
        <f>L411+M411+O411</f>
        <v>3872.5</v>
      </c>
      <c r="T411" s="21">
        <f>F411-R411</f>
        <v>23497.5</v>
      </c>
      <c r="U411" s="24" t="s">
        <v>36</v>
      </c>
    </row>
    <row r="412" spans="1:21" ht="15.75" customHeight="1">
      <c r="A412" s="19">
        <v>397</v>
      </c>
      <c r="B412" s="23" t="s">
        <v>499</v>
      </c>
      <c r="C412" s="26" t="s">
        <v>88</v>
      </c>
      <c r="D412" s="31" t="s">
        <v>58</v>
      </c>
      <c r="E412" s="24" t="s">
        <v>29</v>
      </c>
      <c r="F412" s="21">
        <v>15000</v>
      </c>
      <c r="G412" s="22">
        <v>0</v>
      </c>
      <c r="H412" s="22">
        <v>25</v>
      </c>
      <c r="I412" s="22">
        <v>0</v>
      </c>
      <c r="J412" s="22">
        <f>700+300+6486.05</f>
        <v>7486.05</v>
      </c>
      <c r="K412" s="22">
        <f>F412*2.87%</f>
        <v>430.5</v>
      </c>
      <c r="L412" s="22">
        <f>F412*7.1%</f>
        <v>1065</v>
      </c>
      <c r="M412" s="22">
        <v>195</v>
      </c>
      <c r="N412" s="22">
        <v>456</v>
      </c>
      <c r="O412" s="22">
        <v>1063.5</v>
      </c>
      <c r="P412" s="22">
        <v>0</v>
      </c>
      <c r="Q412" s="21">
        <f>K412+N412</f>
        <v>886.5</v>
      </c>
      <c r="R412" s="21">
        <f>G412+H412+I412+J412+K412+N412+P412</f>
        <v>8397.5499999999993</v>
      </c>
      <c r="S412" s="21">
        <f>L412+M412+O412</f>
        <v>2323.5</v>
      </c>
      <c r="T412" s="21">
        <f>F412-R412</f>
        <v>6602.4500000000007</v>
      </c>
      <c r="U412" s="24" t="s">
        <v>30</v>
      </c>
    </row>
    <row r="413" spans="1:21" ht="15.75" customHeight="1">
      <c r="A413" s="23">
        <v>398</v>
      </c>
      <c r="B413" s="32" t="s">
        <v>500</v>
      </c>
      <c r="C413" s="26" t="s">
        <v>51</v>
      </c>
      <c r="D413" s="31" t="s">
        <v>52</v>
      </c>
      <c r="E413" s="27" t="s">
        <v>29</v>
      </c>
      <c r="F413" s="21">
        <v>12000</v>
      </c>
      <c r="G413" s="22">
        <v>0</v>
      </c>
      <c r="H413" s="22">
        <v>25</v>
      </c>
      <c r="I413" s="22">
        <v>0</v>
      </c>
      <c r="J413" s="22">
        <v>0</v>
      </c>
      <c r="K413" s="22">
        <f>F413*2.87%</f>
        <v>344.4</v>
      </c>
      <c r="L413" s="22">
        <f>F413*7.1%</f>
        <v>851.99999999999989</v>
      </c>
      <c r="M413" s="22">
        <v>156</v>
      </c>
      <c r="N413" s="22">
        <v>364.8</v>
      </c>
      <c r="O413" s="22">
        <v>850.80000000000007</v>
      </c>
      <c r="P413" s="22">
        <v>0</v>
      </c>
      <c r="Q413" s="21">
        <f>K413+N413</f>
        <v>709.2</v>
      </c>
      <c r="R413" s="21">
        <f>G413+H413+I413+J413+K413+N413+P413</f>
        <v>734.2</v>
      </c>
      <c r="S413" s="21">
        <f>L413+M413+O413</f>
        <v>1858.8</v>
      </c>
      <c r="T413" s="21">
        <f>F413-R413</f>
        <v>11265.8</v>
      </c>
      <c r="U413" s="33" t="s">
        <v>30</v>
      </c>
    </row>
    <row r="414" spans="1:21" ht="15.75" customHeight="1">
      <c r="A414" s="23">
        <v>399</v>
      </c>
      <c r="B414" s="23" t="s">
        <v>501</v>
      </c>
      <c r="C414" s="23" t="s">
        <v>88</v>
      </c>
      <c r="D414" s="23" t="s">
        <v>58</v>
      </c>
      <c r="E414" s="24" t="s">
        <v>29</v>
      </c>
      <c r="F414" s="21">
        <v>10000</v>
      </c>
      <c r="G414" s="22">
        <v>0</v>
      </c>
      <c r="H414" s="22">
        <v>25</v>
      </c>
      <c r="I414" s="22">
        <v>0</v>
      </c>
      <c r="J414" s="22">
        <v>0</v>
      </c>
      <c r="K414" s="22">
        <f>F414*2.87%</f>
        <v>287</v>
      </c>
      <c r="L414" s="22">
        <f>F414*7.1%</f>
        <v>709.99999999999989</v>
      </c>
      <c r="M414" s="22">
        <v>130</v>
      </c>
      <c r="N414" s="22">
        <v>304</v>
      </c>
      <c r="O414" s="22">
        <v>709</v>
      </c>
      <c r="P414" s="22">
        <v>0</v>
      </c>
      <c r="Q414" s="21">
        <f>K414+N414</f>
        <v>591</v>
      </c>
      <c r="R414" s="21">
        <f>G414+H414+I414+J414+K414+N414+P414</f>
        <v>616</v>
      </c>
      <c r="S414" s="21">
        <f>L414+M414+O414</f>
        <v>1549</v>
      </c>
      <c r="T414" s="21">
        <f>F414-R414</f>
        <v>9384</v>
      </c>
      <c r="U414" s="24" t="s">
        <v>36</v>
      </c>
    </row>
    <row r="415" spans="1:21" ht="15.75" customHeight="1">
      <c r="A415" s="19">
        <v>400</v>
      </c>
      <c r="B415" s="23" t="s">
        <v>502</v>
      </c>
      <c r="C415" s="23" t="s">
        <v>66</v>
      </c>
      <c r="D415" s="23" t="s">
        <v>78</v>
      </c>
      <c r="E415" s="24" t="s">
        <v>29</v>
      </c>
      <c r="F415" s="21">
        <v>30000</v>
      </c>
      <c r="G415" s="22">
        <v>0</v>
      </c>
      <c r="H415" s="22">
        <v>25</v>
      </c>
      <c r="I415" s="22">
        <v>0</v>
      </c>
      <c r="J415" s="22">
        <v>0</v>
      </c>
      <c r="K415" s="22">
        <f>F415*2.87%</f>
        <v>861</v>
      </c>
      <c r="L415" s="22">
        <f>F415*7.1%</f>
        <v>2130</v>
      </c>
      <c r="M415" s="22">
        <v>390</v>
      </c>
      <c r="N415" s="22">
        <v>912</v>
      </c>
      <c r="O415" s="22">
        <v>2127</v>
      </c>
      <c r="P415" s="22">
        <v>0</v>
      </c>
      <c r="Q415" s="21">
        <f>K415+N415</f>
        <v>1773</v>
      </c>
      <c r="R415" s="21">
        <f>G415+H415+I415+J415+K415+N415+P415</f>
        <v>1798</v>
      </c>
      <c r="S415" s="21">
        <f>L415+M415+O415</f>
        <v>4647</v>
      </c>
      <c r="T415" s="21">
        <f>F415-R415</f>
        <v>28202</v>
      </c>
      <c r="U415" s="24" t="s">
        <v>36</v>
      </c>
    </row>
    <row r="416" spans="1:21" ht="15.75" customHeight="1">
      <c r="A416" s="23">
        <v>401</v>
      </c>
      <c r="B416" s="23" t="s">
        <v>503</v>
      </c>
      <c r="C416" s="23" t="s">
        <v>57</v>
      </c>
      <c r="D416" s="23" t="s">
        <v>58</v>
      </c>
      <c r="E416" s="24" t="s">
        <v>29</v>
      </c>
      <c r="F416" s="21">
        <v>15000</v>
      </c>
      <c r="G416" s="22">
        <v>0</v>
      </c>
      <c r="H416" s="22">
        <v>25</v>
      </c>
      <c r="I416" s="22">
        <v>0</v>
      </c>
      <c r="J416" s="22">
        <v>0</v>
      </c>
      <c r="K416" s="22">
        <f>F416*2.87%</f>
        <v>430.5</v>
      </c>
      <c r="L416" s="22">
        <f>F416*7.1%</f>
        <v>1065</v>
      </c>
      <c r="M416" s="22">
        <v>195</v>
      </c>
      <c r="N416" s="22">
        <v>456</v>
      </c>
      <c r="O416" s="22">
        <v>1063.5</v>
      </c>
      <c r="P416" s="22">
        <v>0</v>
      </c>
      <c r="Q416" s="21">
        <f>K416+N416</f>
        <v>886.5</v>
      </c>
      <c r="R416" s="21">
        <f>G416+H416+I416+J416+K416+N416+P416</f>
        <v>911.5</v>
      </c>
      <c r="S416" s="21">
        <f>L416+M416+O416</f>
        <v>2323.5</v>
      </c>
      <c r="T416" s="21">
        <f>F416-R416</f>
        <v>14088.5</v>
      </c>
      <c r="U416" s="24" t="s">
        <v>30</v>
      </c>
    </row>
    <row r="417" spans="1:21" ht="15.75" customHeight="1">
      <c r="A417" s="23">
        <v>402</v>
      </c>
      <c r="B417" s="23" t="s">
        <v>504</v>
      </c>
      <c r="C417" s="23" t="s">
        <v>88</v>
      </c>
      <c r="D417" s="23" t="s">
        <v>61</v>
      </c>
      <c r="E417" s="24" t="s">
        <v>29</v>
      </c>
      <c r="F417" s="21">
        <v>15000</v>
      </c>
      <c r="G417" s="22">
        <v>0</v>
      </c>
      <c r="H417" s="22">
        <v>25</v>
      </c>
      <c r="I417" s="22">
        <v>0</v>
      </c>
      <c r="J417" s="22">
        <v>0</v>
      </c>
      <c r="K417" s="22">
        <f>F417*2.87%</f>
        <v>430.5</v>
      </c>
      <c r="L417" s="22">
        <f>F417*7.1%</f>
        <v>1065</v>
      </c>
      <c r="M417" s="22">
        <v>195</v>
      </c>
      <c r="N417" s="22">
        <v>456</v>
      </c>
      <c r="O417" s="22">
        <v>1063.5</v>
      </c>
      <c r="P417" s="22">
        <v>0</v>
      </c>
      <c r="Q417" s="21">
        <f>K417+N417</f>
        <v>886.5</v>
      </c>
      <c r="R417" s="21">
        <f>G417+H417+I417+J417+K417+N417+P417</f>
        <v>911.5</v>
      </c>
      <c r="S417" s="21">
        <f>L417+M417+O417</f>
        <v>2323.5</v>
      </c>
      <c r="T417" s="21">
        <f>F417-R417</f>
        <v>14088.5</v>
      </c>
      <c r="U417" s="24" t="s">
        <v>30</v>
      </c>
    </row>
    <row r="418" spans="1:21" ht="15.75" customHeight="1">
      <c r="A418" s="19">
        <v>403</v>
      </c>
      <c r="B418" s="23" t="s">
        <v>505</v>
      </c>
      <c r="C418" s="23" t="s">
        <v>63</v>
      </c>
      <c r="D418" s="23" t="s">
        <v>98</v>
      </c>
      <c r="E418" s="24" t="s">
        <v>29</v>
      </c>
      <c r="F418" s="21">
        <v>23000</v>
      </c>
      <c r="G418" s="22">
        <v>0</v>
      </c>
      <c r="H418" s="22">
        <v>25</v>
      </c>
      <c r="I418" s="22">
        <v>0</v>
      </c>
      <c r="J418" s="22">
        <v>0</v>
      </c>
      <c r="K418" s="22">
        <f>F418*2.87%</f>
        <v>660.1</v>
      </c>
      <c r="L418" s="22">
        <f>F418*7.1%</f>
        <v>1632.9999999999998</v>
      </c>
      <c r="M418" s="22">
        <v>299</v>
      </c>
      <c r="N418" s="22">
        <v>699.2</v>
      </c>
      <c r="O418" s="22">
        <v>1630.7</v>
      </c>
      <c r="P418" s="22">
        <v>0</v>
      </c>
      <c r="Q418" s="21">
        <f>K418+N418</f>
        <v>1359.3000000000002</v>
      </c>
      <c r="R418" s="21">
        <f>G418+H418+I418+J418+K418+N418+P418</f>
        <v>1384.3000000000002</v>
      </c>
      <c r="S418" s="21">
        <f>L418+M418+O418</f>
        <v>3562.7</v>
      </c>
      <c r="T418" s="21">
        <f>F418-R418</f>
        <v>21615.7</v>
      </c>
      <c r="U418" s="24" t="s">
        <v>30</v>
      </c>
    </row>
    <row r="419" spans="1:21" ht="15.75" customHeight="1">
      <c r="A419" s="23">
        <v>404</v>
      </c>
      <c r="B419" s="23" t="s">
        <v>506</v>
      </c>
      <c r="C419" s="23" t="s">
        <v>88</v>
      </c>
      <c r="D419" s="23" t="s">
        <v>61</v>
      </c>
      <c r="E419" s="24" t="s">
        <v>29</v>
      </c>
      <c r="F419" s="21">
        <v>10000</v>
      </c>
      <c r="G419" s="22">
        <v>0</v>
      </c>
      <c r="H419" s="22">
        <v>25</v>
      </c>
      <c r="I419" s="22">
        <v>0</v>
      </c>
      <c r="J419" s="22">
        <v>0</v>
      </c>
      <c r="K419" s="22">
        <f>F419*2.87%</f>
        <v>287</v>
      </c>
      <c r="L419" s="22">
        <f>F419*7.1%</f>
        <v>709.99999999999989</v>
      </c>
      <c r="M419" s="22">
        <v>130</v>
      </c>
      <c r="N419" s="22">
        <v>304</v>
      </c>
      <c r="O419" s="22">
        <v>709</v>
      </c>
      <c r="P419" s="22">
        <v>0</v>
      </c>
      <c r="Q419" s="21">
        <f>K419+N419</f>
        <v>591</v>
      </c>
      <c r="R419" s="21">
        <f>G419+H419+I419+J419+K419+N419+P419</f>
        <v>616</v>
      </c>
      <c r="S419" s="21">
        <f>L419+M419+O419</f>
        <v>1549</v>
      </c>
      <c r="T419" s="21">
        <f>F419-R419</f>
        <v>9384</v>
      </c>
      <c r="U419" s="24" t="s">
        <v>30</v>
      </c>
    </row>
    <row r="420" spans="1:21" ht="15.75" customHeight="1">
      <c r="A420" s="23">
        <v>405</v>
      </c>
      <c r="B420" s="23" t="s">
        <v>507</v>
      </c>
      <c r="C420" s="23" t="s">
        <v>508</v>
      </c>
      <c r="D420" s="23" t="s">
        <v>35</v>
      </c>
      <c r="E420" s="24" t="s">
        <v>29</v>
      </c>
      <c r="F420" s="21">
        <v>65000</v>
      </c>
      <c r="G420" s="22">
        <v>4427.58</v>
      </c>
      <c r="H420" s="22">
        <v>25</v>
      </c>
      <c r="I420" s="22">
        <v>0</v>
      </c>
      <c r="J420" s="22">
        <f>2000+300+4179.32</f>
        <v>6479.32</v>
      </c>
      <c r="K420" s="22">
        <f>F420*2.87%</f>
        <v>1865.5</v>
      </c>
      <c r="L420" s="22">
        <f>F420*7.1%</f>
        <v>4615</v>
      </c>
      <c r="M420" s="22">
        <v>845</v>
      </c>
      <c r="N420" s="22">
        <v>1976</v>
      </c>
      <c r="O420" s="22">
        <v>4608.5</v>
      </c>
      <c r="P420" s="22">
        <v>0</v>
      </c>
      <c r="Q420" s="21">
        <f>K420+N420</f>
        <v>3841.5</v>
      </c>
      <c r="R420" s="21">
        <f>G420+H420+I420+J420+K420+N420+P420</f>
        <v>14773.4</v>
      </c>
      <c r="S420" s="21">
        <f>L420+M420+O420</f>
        <v>10068.5</v>
      </c>
      <c r="T420" s="21">
        <f>F420-R420</f>
        <v>50226.6</v>
      </c>
      <c r="U420" s="24" t="s">
        <v>36</v>
      </c>
    </row>
    <row r="421" spans="1:21" ht="15.6">
      <c r="A421" s="19">
        <v>406</v>
      </c>
      <c r="B421" s="23" t="s">
        <v>509</v>
      </c>
      <c r="C421" s="23" t="s">
        <v>358</v>
      </c>
      <c r="D421" s="23" t="s">
        <v>78</v>
      </c>
      <c r="E421" s="24" t="s">
        <v>29</v>
      </c>
      <c r="F421" s="21">
        <v>10000</v>
      </c>
      <c r="G421" s="22">
        <v>0</v>
      </c>
      <c r="H421" s="22">
        <v>25</v>
      </c>
      <c r="I421" s="22">
        <v>0</v>
      </c>
      <c r="J421" s="22">
        <v>0</v>
      </c>
      <c r="K421" s="22">
        <f>F421*2.87%</f>
        <v>287</v>
      </c>
      <c r="L421" s="22">
        <f>F421*7.1%</f>
        <v>709.99999999999989</v>
      </c>
      <c r="M421" s="22">
        <v>130</v>
      </c>
      <c r="N421" s="22">
        <v>304</v>
      </c>
      <c r="O421" s="22">
        <v>709</v>
      </c>
      <c r="P421" s="22">
        <v>0</v>
      </c>
      <c r="Q421" s="21">
        <f>K421+N421</f>
        <v>591</v>
      </c>
      <c r="R421" s="21">
        <f>G421+H421+I421+J421+K421+N421+P421</f>
        <v>616</v>
      </c>
      <c r="S421" s="21">
        <f>L421+M421+O421</f>
        <v>1549</v>
      </c>
      <c r="T421" s="21">
        <f>F421-R421</f>
        <v>9384</v>
      </c>
      <c r="U421" s="24" t="s">
        <v>30</v>
      </c>
    </row>
    <row r="422" spans="1:21" ht="15.75" customHeight="1">
      <c r="A422" s="23">
        <v>407</v>
      </c>
      <c r="B422" s="23" t="s">
        <v>510</v>
      </c>
      <c r="C422" s="23" t="s">
        <v>66</v>
      </c>
      <c r="D422" s="23" t="s">
        <v>61</v>
      </c>
      <c r="E422" s="24" t="s">
        <v>29</v>
      </c>
      <c r="F422" s="21">
        <v>35000</v>
      </c>
      <c r="G422" s="22">
        <v>0</v>
      </c>
      <c r="H422" s="22">
        <v>25</v>
      </c>
      <c r="I422" s="22">
        <v>0</v>
      </c>
      <c r="J422" s="22">
        <f>1200+300+1061.67</f>
        <v>2561.67</v>
      </c>
      <c r="K422" s="22">
        <f>F422*2.87%</f>
        <v>1004.5</v>
      </c>
      <c r="L422" s="22">
        <f>F422*7.1%</f>
        <v>2485</v>
      </c>
      <c r="M422" s="22">
        <v>455</v>
      </c>
      <c r="N422" s="22">
        <v>1064</v>
      </c>
      <c r="O422" s="22">
        <v>2481.5</v>
      </c>
      <c r="P422" s="22">
        <v>0</v>
      </c>
      <c r="Q422" s="21">
        <f>K422+N422</f>
        <v>2068.5</v>
      </c>
      <c r="R422" s="21">
        <f>G422+H422+I422+J422+K422+N422+P422</f>
        <v>4655.17</v>
      </c>
      <c r="S422" s="21">
        <f>L422+M422+O422</f>
        <v>5421.5</v>
      </c>
      <c r="T422" s="21">
        <f>F422-R422</f>
        <v>30344.83</v>
      </c>
      <c r="U422" s="24" t="s">
        <v>36</v>
      </c>
    </row>
    <row r="423" spans="1:21" ht="15.75" customHeight="1">
      <c r="A423" s="23">
        <v>408</v>
      </c>
      <c r="B423" s="23" t="s">
        <v>511</v>
      </c>
      <c r="C423" s="23" t="s">
        <v>68</v>
      </c>
      <c r="D423" s="23" t="s">
        <v>72</v>
      </c>
      <c r="E423" s="24" t="s">
        <v>29</v>
      </c>
      <c r="F423" s="21">
        <v>15000</v>
      </c>
      <c r="G423" s="22">
        <v>0</v>
      </c>
      <c r="H423" s="22">
        <v>25</v>
      </c>
      <c r="I423" s="22">
        <v>0</v>
      </c>
      <c r="J423" s="22">
        <v>0</v>
      </c>
      <c r="K423" s="22">
        <f>F423*2.87%</f>
        <v>430.5</v>
      </c>
      <c r="L423" s="22">
        <f>F423*7.1%</f>
        <v>1065</v>
      </c>
      <c r="M423" s="22">
        <v>195</v>
      </c>
      <c r="N423" s="22">
        <v>456</v>
      </c>
      <c r="O423" s="22">
        <v>1063.5</v>
      </c>
      <c r="P423" s="22">
        <v>0</v>
      </c>
      <c r="Q423" s="21">
        <f>K423+N423</f>
        <v>886.5</v>
      </c>
      <c r="R423" s="21">
        <f>G423+H423+I423+J423+K423+N423+P423</f>
        <v>911.5</v>
      </c>
      <c r="S423" s="21">
        <f>L423+M423+O423</f>
        <v>2323.5</v>
      </c>
      <c r="T423" s="21">
        <f>F423-R423</f>
        <v>14088.5</v>
      </c>
      <c r="U423" s="24" t="s">
        <v>36</v>
      </c>
    </row>
    <row r="424" spans="1:21" ht="15.75" customHeight="1">
      <c r="A424" s="19">
        <v>409</v>
      </c>
      <c r="B424" s="23" t="s">
        <v>512</v>
      </c>
      <c r="C424" s="23" t="s">
        <v>60</v>
      </c>
      <c r="D424" s="23" t="s">
        <v>61</v>
      </c>
      <c r="E424" s="24" t="s">
        <v>29</v>
      </c>
      <c r="F424" s="21">
        <v>25000</v>
      </c>
      <c r="G424" s="22">
        <v>0</v>
      </c>
      <c r="H424" s="22">
        <v>25</v>
      </c>
      <c r="I424" s="22">
        <v>0</v>
      </c>
      <c r="J424" s="22">
        <v>0</v>
      </c>
      <c r="K424" s="22">
        <f>F424*2.87%</f>
        <v>717.5</v>
      </c>
      <c r="L424" s="22">
        <f>F424*7.1%</f>
        <v>1774.9999999999998</v>
      </c>
      <c r="M424" s="22">
        <v>325</v>
      </c>
      <c r="N424" s="22">
        <v>760</v>
      </c>
      <c r="O424" s="22">
        <v>1772.5000000000002</v>
      </c>
      <c r="P424" s="22">
        <v>0</v>
      </c>
      <c r="Q424" s="21">
        <f>K424+N424</f>
        <v>1477.5</v>
      </c>
      <c r="R424" s="21">
        <f>G424+H424+I424+J424+K424+N424+P424</f>
        <v>1502.5</v>
      </c>
      <c r="S424" s="21">
        <f>L424+M424+O424</f>
        <v>3872.5</v>
      </c>
      <c r="T424" s="21">
        <f>F424-R424</f>
        <v>23497.5</v>
      </c>
      <c r="U424" s="24" t="s">
        <v>30</v>
      </c>
    </row>
    <row r="425" spans="1:21" ht="15.75" customHeight="1">
      <c r="A425" s="23">
        <v>410</v>
      </c>
      <c r="B425" s="23" t="s">
        <v>513</v>
      </c>
      <c r="C425" s="23" t="s">
        <v>176</v>
      </c>
      <c r="D425" s="23" t="s">
        <v>177</v>
      </c>
      <c r="E425" s="24" t="s">
        <v>29</v>
      </c>
      <c r="F425" s="21">
        <v>20000</v>
      </c>
      <c r="G425" s="22">
        <v>0</v>
      </c>
      <c r="H425" s="22">
        <v>25</v>
      </c>
      <c r="I425" s="22">
        <v>0</v>
      </c>
      <c r="J425" s="22">
        <v>0</v>
      </c>
      <c r="K425" s="22">
        <f>F425*2.87%</f>
        <v>574</v>
      </c>
      <c r="L425" s="22">
        <f>F425*7.1%</f>
        <v>1419.9999999999998</v>
      </c>
      <c r="M425" s="22">
        <v>260</v>
      </c>
      <c r="N425" s="22">
        <v>608</v>
      </c>
      <c r="O425" s="22">
        <v>1418</v>
      </c>
      <c r="P425" s="22">
        <v>0</v>
      </c>
      <c r="Q425" s="21">
        <f>K425+N425</f>
        <v>1182</v>
      </c>
      <c r="R425" s="21">
        <f>G425+H425+I425+J425+K425+N425+P425</f>
        <v>1207</v>
      </c>
      <c r="S425" s="21">
        <f>L425+M425+O425</f>
        <v>3098</v>
      </c>
      <c r="T425" s="21">
        <f>F425-R425</f>
        <v>18793</v>
      </c>
      <c r="U425" s="24" t="s">
        <v>30</v>
      </c>
    </row>
    <row r="426" spans="1:21" ht="15.75" customHeight="1">
      <c r="A426" s="23">
        <v>411</v>
      </c>
      <c r="B426" s="23" t="s">
        <v>514</v>
      </c>
      <c r="C426" s="23" t="s">
        <v>66</v>
      </c>
      <c r="D426" s="23" t="s">
        <v>72</v>
      </c>
      <c r="E426" s="24" t="s">
        <v>29</v>
      </c>
      <c r="F426" s="21">
        <v>40000</v>
      </c>
      <c r="G426" s="22">
        <v>442.65</v>
      </c>
      <c r="H426" s="22">
        <v>25</v>
      </c>
      <c r="I426" s="22">
        <v>0</v>
      </c>
      <c r="J426" s="22">
        <f>2000+300+3740.13</f>
        <v>6040.13</v>
      </c>
      <c r="K426" s="22">
        <f>F426*2.87%</f>
        <v>1148</v>
      </c>
      <c r="L426" s="22">
        <f>F426*7.1%</f>
        <v>2839.9999999999995</v>
      </c>
      <c r="M426" s="22">
        <v>520</v>
      </c>
      <c r="N426" s="22">
        <v>1216</v>
      </c>
      <c r="O426" s="22">
        <v>2836</v>
      </c>
      <c r="P426" s="22">
        <v>0</v>
      </c>
      <c r="Q426" s="21">
        <f>K426+N426</f>
        <v>2364</v>
      </c>
      <c r="R426" s="21">
        <f>G426+H426+I426+J426+K426+N426+P426</f>
        <v>8871.7799999999988</v>
      </c>
      <c r="S426" s="21">
        <f>L426+M426+O426</f>
        <v>6196</v>
      </c>
      <c r="T426" s="21">
        <f>F426-R426</f>
        <v>31128.22</v>
      </c>
      <c r="U426" s="24" t="s">
        <v>30</v>
      </c>
    </row>
    <row r="427" spans="1:21" ht="15.75" customHeight="1">
      <c r="A427" s="19">
        <v>412</v>
      </c>
      <c r="B427" s="23" t="s">
        <v>515</v>
      </c>
      <c r="C427" s="23" t="s">
        <v>66</v>
      </c>
      <c r="D427" s="23" t="s">
        <v>61</v>
      </c>
      <c r="E427" s="24" t="s">
        <v>29</v>
      </c>
      <c r="F427" s="21">
        <v>20000</v>
      </c>
      <c r="G427" s="22">
        <v>0</v>
      </c>
      <c r="H427" s="22">
        <v>25</v>
      </c>
      <c r="I427" s="22">
        <v>0</v>
      </c>
      <c r="J427" s="22">
        <v>0</v>
      </c>
      <c r="K427" s="22">
        <f>F427*2.87%</f>
        <v>574</v>
      </c>
      <c r="L427" s="22">
        <f>F427*7.1%</f>
        <v>1419.9999999999998</v>
      </c>
      <c r="M427" s="22">
        <v>260</v>
      </c>
      <c r="N427" s="22">
        <v>608</v>
      </c>
      <c r="O427" s="22">
        <v>1418</v>
      </c>
      <c r="P427" s="22">
        <v>0</v>
      </c>
      <c r="Q427" s="21">
        <f>K427+N427</f>
        <v>1182</v>
      </c>
      <c r="R427" s="21">
        <f>G427+H427+I427+J427+K427+N427+P427</f>
        <v>1207</v>
      </c>
      <c r="S427" s="21">
        <f>L427+M427+O427</f>
        <v>3098</v>
      </c>
      <c r="T427" s="21">
        <f>F427-R427</f>
        <v>18793</v>
      </c>
      <c r="U427" s="24" t="s">
        <v>30</v>
      </c>
    </row>
    <row r="428" spans="1:21" ht="15.75" customHeight="1">
      <c r="A428" s="23">
        <v>413</v>
      </c>
      <c r="B428" s="23" t="s">
        <v>516</v>
      </c>
      <c r="C428" s="23" t="s">
        <v>88</v>
      </c>
      <c r="D428" s="23" t="s">
        <v>61</v>
      </c>
      <c r="E428" s="24" t="s">
        <v>29</v>
      </c>
      <c r="F428" s="21">
        <v>10000</v>
      </c>
      <c r="G428" s="22">
        <v>0</v>
      </c>
      <c r="H428" s="22">
        <v>25</v>
      </c>
      <c r="I428" s="22">
        <v>0</v>
      </c>
      <c r="J428" s="22">
        <v>0</v>
      </c>
      <c r="K428" s="22">
        <f>F428*2.87%</f>
        <v>287</v>
      </c>
      <c r="L428" s="22">
        <f>F428*7.1%</f>
        <v>709.99999999999989</v>
      </c>
      <c r="M428" s="22">
        <v>130</v>
      </c>
      <c r="N428" s="22">
        <v>304</v>
      </c>
      <c r="O428" s="22">
        <v>709</v>
      </c>
      <c r="P428" s="22">
        <v>0</v>
      </c>
      <c r="Q428" s="21">
        <f>K428+N428</f>
        <v>591</v>
      </c>
      <c r="R428" s="21">
        <f>G428+H428+I428+J428+K428+N428+P428</f>
        <v>616</v>
      </c>
      <c r="S428" s="21">
        <f>L428+M428+O428</f>
        <v>1549</v>
      </c>
      <c r="T428" s="21">
        <f>F428-R428</f>
        <v>9384</v>
      </c>
      <c r="U428" s="24" t="s">
        <v>30</v>
      </c>
    </row>
    <row r="429" spans="1:21" ht="15.75" customHeight="1">
      <c r="A429" s="23">
        <v>414</v>
      </c>
      <c r="B429" s="23" t="s">
        <v>517</v>
      </c>
      <c r="C429" s="23" t="s">
        <v>287</v>
      </c>
      <c r="D429" s="23" t="s">
        <v>58</v>
      </c>
      <c r="E429" s="24" t="s">
        <v>29</v>
      </c>
      <c r="F429" s="21">
        <v>30000</v>
      </c>
      <c r="G429" s="22">
        <v>0</v>
      </c>
      <c r="H429" s="22">
        <v>25</v>
      </c>
      <c r="I429" s="22">
        <v>0</v>
      </c>
      <c r="J429" s="22">
        <v>0</v>
      </c>
      <c r="K429" s="22">
        <f>F429*2.87%</f>
        <v>861</v>
      </c>
      <c r="L429" s="22">
        <f>F429*7.1%</f>
        <v>2130</v>
      </c>
      <c r="M429" s="22">
        <v>390</v>
      </c>
      <c r="N429" s="22">
        <v>912</v>
      </c>
      <c r="O429" s="22">
        <v>2127</v>
      </c>
      <c r="P429" s="22">
        <v>0</v>
      </c>
      <c r="Q429" s="21">
        <f>K429+N429</f>
        <v>1773</v>
      </c>
      <c r="R429" s="21">
        <f>G429+H429+I429+J429+K429+N429+P429</f>
        <v>1798</v>
      </c>
      <c r="S429" s="21">
        <f>L429+M429+O429</f>
        <v>4647</v>
      </c>
      <c r="T429" s="21">
        <f>F429-R429</f>
        <v>28202</v>
      </c>
      <c r="U429" s="24" t="s">
        <v>30</v>
      </c>
    </row>
    <row r="430" spans="1:21" ht="15.75" customHeight="1">
      <c r="A430" s="19">
        <v>415</v>
      </c>
      <c r="B430" s="23" t="s">
        <v>518</v>
      </c>
      <c r="C430" s="23" t="s">
        <v>519</v>
      </c>
      <c r="D430" s="23" t="s">
        <v>72</v>
      </c>
      <c r="E430" s="24" t="s">
        <v>29</v>
      </c>
      <c r="F430" s="21">
        <v>11500</v>
      </c>
      <c r="G430" s="22">
        <v>0</v>
      </c>
      <c r="H430" s="22">
        <v>25</v>
      </c>
      <c r="I430" s="22">
        <v>0</v>
      </c>
      <c r="J430" s="22">
        <v>0</v>
      </c>
      <c r="K430" s="22">
        <f>F430*2.87%</f>
        <v>330.05</v>
      </c>
      <c r="L430" s="22">
        <f>F430*7.1%</f>
        <v>816.49999999999989</v>
      </c>
      <c r="M430" s="22">
        <v>149.5</v>
      </c>
      <c r="N430" s="22">
        <v>349.6</v>
      </c>
      <c r="O430" s="22">
        <v>815.35</v>
      </c>
      <c r="P430" s="22">
        <v>0</v>
      </c>
      <c r="Q430" s="21">
        <f>K430+N430</f>
        <v>679.65000000000009</v>
      </c>
      <c r="R430" s="21">
        <f>G430+H430+I430+J430+K430+N430+P430</f>
        <v>704.65000000000009</v>
      </c>
      <c r="S430" s="21">
        <f>L430+M430+O430</f>
        <v>1781.35</v>
      </c>
      <c r="T430" s="21">
        <f>F430-R430</f>
        <v>10795.35</v>
      </c>
      <c r="U430" s="24" t="s">
        <v>30</v>
      </c>
    </row>
    <row r="431" spans="1:21" ht="15.75" customHeight="1">
      <c r="A431" s="23">
        <v>416</v>
      </c>
      <c r="B431" s="23" t="s">
        <v>520</v>
      </c>
      <c r="C431" s="23" t="s">
        <v>51</v>
      </c>
      <c r="D431" s="23" t="s">
        <v>52</v>
      </c>
      <c r="E431" s="24" t="s">
        <v>29</v>
      </c>
      <c r="F431" s="21">
        <v>10000</v>
      </c>
      <c r="G431" s="22">
        <v>0</v>
      </c>
      <c r="H431" s="22">
        <v>25</v>
      </c>
      <c r="I431" s="22">
        <v>0</v>
      </c>
      <c r="J431" s="22">
        <v>0</v>
      </c>
      <c r="K431" s="22">
        <f>F431*2.87%</f>
        <v>287</v>
      </c>
      <c r="L431" s="22">
        <f>F431*7.1%</f>
        <v>709.99999999999989</v>
      </c>
      <c r="M431" s="22">
        <v>130</v>
      </c>
      <c r="N431" s="22">
        <v>304</v>
      </c>
      <c r="O431" s="22">
        <v>709</v>
      </c>
      <c r="P431" s="22">
        <v>0</v>
      </c>
      <c r="Q431" s="21">
        <f>K431+N431</f>
        <v>591</v>
      </c>
      <c r="R431" s="21">
        <f>G431+H431+I431+J431+K431+N431+P431</f>
        <v>616</v>
      </c>
      <c r="S431" s="21">
        <f>L431+M431+O431</f>
        <v>1549</v>
      </c>
      <c r="T431" s="21">
        <f>F431-R431</f>
        <v>9384</v>
      </c>
      <c r="U431" s="24" t="s">
        <v>30</v>
      </c>
    </row>
    <row r="432" spans="1:21" ht="15.75" customHeight="1">
      <c r="A432" s="23">
        <v>417</v>
      </c>
      <c r="B432" s="23" t="s">
        <v>521</v>
      </c>
      <c r="C432" s="23" t="s">
        <v>88</v>
      </c>
      <c r="D432" s="23" t="s">
        <v>61</v>
      </c>
      <c r="E432" s="24" t="s">
        <v>29</v>
      </c>
      <c r="F432" s="21">
        <v>10000</v>
      </c>
      <c r="G432" s="22">
        <v>0</v>
      </c>
      <c r="H432" s="22">
        <v>25</v>
      </c>
      <c r="I432" s="22">
        <v>0</v>
      </c>
      <c r="J432" s="22">
        <v>0</v>
      </c>
      <c r="K432" s="22">
        <f>F432*2.87%</f>
        <v>287</v>
      </c>
      <c r="L432" s="22">
        <f>F432*7.1%</f>
        <v>709.99999999999989</v>
      </c>
      <c r="M432" s="22">
        <v>130</v>
      </c>
      <c r="N432" s="22">
        <v>304</v>
      </c>
      <c r="O432" s="22">
        <v>709</v>
      </c>
      <c r="P432" s="22">
        <v>0</v>
      </c>
      <c r="Q432" s="21">
        <f>K432+N432</f>
        <v>591</v>
      </c>
      <c r="R432" s="21">
        <f>G432+H432+I432+J432+K432+N432+P432</f>
        <v>616</v>
      </c>
      <c r="S432" s="21">
        <f>L432+M432+O432</f>
        <v>1549</v>
      </c>
      <c r="T432" s="21">
        <f>F432-R432</f>
        <v>9384</v>
      </c>
      <c r="U432" s="24" t="s">
        <v>30</v>
      </c>
    </row>
    <row r="433" spans="1:21" ht="15.75" customHeight="1">
      <c r="A433" s="19">
        <v>418</v>
      </c>
      <c r="B433" s="23" t="s">
        <v>522</v>
      </c>
      <c r="C433" s="23" t="s">
        <v>66</v>
      </c>
      <c r="D433" s="23" t="s">
        <v>72</v>
      </c>
      <c r="E433" s="24" t="s">
        <v>29</v>
      </c>
      <c r="F433" s="21">
        <v>20000</v>
      </c>
      <c r="G433" s="22">
        <v>0</v>
      </c>
      <c r="H433" s="22">
        <v>25</v>
      </c>
      <c r="I433" s="22">
        <v>0</v>
      </c>
      <c r="J433" s="22">
        <v>0</v>
      </c>
      <c r="K433" s="22">
        <f>F433*2.87%</f>
        <v>574</v>
      </c>
      <c r="L433" s="22">
        <f>F433*7.1%</f>
        <v>1419.9999999999998</v>
      </c>
      <c r="M433" s="22">
        <v>260</v>
      </c>
      <c r="N433" s="22">
        <v>608</v>
      </c>
      <c r="O433" s="22">
        <v>1418</v>
      </c>
      <c r="P433" s="22">
        <v>0</v>
      </c>
      <c r="Q433" s="21">
        <f>K433+N433</f>
        <v>1182</v>
      </c>
      <c r="R433" s="21">
        <f>G433+H433+I433+J433+K433+N433+P433</f>
        <v>1207</v>
      </c>
      <c r="S433" s="21">
        <f>L433+M433+O433</f>
        <v>3098</v>
      </c>
      <c r="T433" s="21">
        <f>F433-R433</f>
        <v>18793</v>
      </c>
      <c r="U433" s="24" t="s">
        <v>36</v>
      </c>
    </row>
    <row r="434" spans="1:21" ht="15.75" customHeight="1">
      <c r="A434" s="23">
        <v>419</v>
      </c>
      <c r="B434" s="23" t="s">
        <v>523</v>
      </c>
      <c r="C434" s="23" t="s">
        <v>68</v>
      </c>
      <c r="D434" s="23" t="s">
        <v>58</v>
      </c>
      <c r="E434" s="24" t="s">
        <v>29</v>
      </c>
      <c r="F434" s="21">
        <v>13000</v>
      </c>
      <c r="G434" s="22">
        <v>0</v>
      </c>
      <c r="H434" s="22">
        <v>25</v>
      </c>
      <c r="I434" s="22">
        <v>0</v>
      </c>
      <c r="J434" s="22">
        <f>700+300+930.09</f>
        <v>1930.0900000000001</v>
      </c>
      <c r="K434" s="22">
        <f>F434*2.87%</f>
        <v>373.1</v>
      </c>
      <c r="L434" s="22">
        <f>F434*7.1%</f>
        <v>922.99999999999989</v>
      </c>
      <c r="M434" s="22">
        <v>169</v>
      </c>
      <c r="N434" s="22">
        <v>395.2</v>
      </c>
      <c r="O434" s="22">
        <v>921.7</v>
      </c>
      <c r="P434" s="22">
        <v>0</v>
      </c>
      <c r="Q434" s="21">
        <f>K434+N434</f>
        <v>768.3</v>
      </c>
      <c r="R434" s="21">
        <f>G434+H434+I434+J434+K434+N434+P434</f>
        <v>2723.39</v>
      </c>
      <c r="S434" s="21">
        <f>L434+M434+O434</f>
        <v>2013.7</v>
      </c>
      <c r="T434" s="21">
        <f>F434-R434</f>
        <v>10276.61</v>
      </c>
      <c r="U434" s="24" t="s">
        <v>36</v>
      </c>
    </row>
    <row r="435" spans="1:21" ht="15.75" customHeight="1">
      <c r="A435" s="23">
        <v>420</v>
      </c>
      <c r="B435" s="23" t="s">
        <v>524</v>
      </c>
      <c r="C435" s="23" t="s">
        <v>66</v>
      </c>
      <c r="D435" s="23" t="s">
        <v>72</v>
      </c>
      <c r="E435" s="24" t="s">
        <v>29</v>
      </c>
      <c r="F435" s="21">
        <v>15000</v>
      </c>
      <c r="G435" s="22">
        <v>0</v>
      </c>
      <c r="H435" s="22">
        <v>25</v>
      </c>
      <c r="I435" s="22">
        <v>0</v>
      </c>
      <c r="J435" s="22">
        <f>1000+300+3411.5</f>
        <v>4711.5</v>
      </c>
      <c r="K435" s="22">
        <f>F435*2.87%</f>
        <v>430.5</v>
      </c>
      <c r="L435" s="22">
        <f>F435*7.1%</f>
        <v>1065</v>
      </c>
      <c r="M435" s="22">
        <v>195</v>
      </c>
      <c r="N435" s="22">
        <v>456</v>
      </c>
      <c r="O435" s="22">
        <v>1063.5</v>
      </c>
      <c r="P435" s="22">
        <v>0</v>
      </c>
      <c r="Q435" s="21">
        <f>K435+N435</f>
        <v>886.5</v>
      </c>
      <c r="R435" s="21">
        <f>G435+H435+I435+J435+K435+N435+P435</f>
        <v>5623</v>
      </c>
      <c r="S435" s="21">
        <f>L435+M435+O435</f>
        <v>2323.5</v>
      </c>
      <c r="T435" s="21">
        <f>F435-R435</f>
        <v>9377</v>
      </c>
      <c r="U435" s="24" t="s">
        <v>36</v>
      </c>
    </row>
    <row r="436" spans="1:21" ht="15.75" customHeight="1">
      <c r="A436" s="19">
        <v>421</v>
      </c>
      <c r="B436" s="23" t="s">
        <v>525</v>
      </c>
      <c r="C436" s="23" t="s">
        <v>66</v>
      </c>
      <c r="D436" s="23" t="s">
        <v>78</v>
      </c>
      <c r="E436" s="24" t="s">
        <v>29</v>
      </c>
      <c r="F436" s="21">
        <v>15000</v>
      </c>
      <c r="G436" s="22">
        <v>0</v>
      </c>
      <c r="H436" s="22">
        <v>25</v>
      </c>
      <c r="I436" s="22">
        <v>0</v>
      </c>
      <c r="J436" s="22">
        <v>0</v>
      </c>
      <c r="K436" s="22">
        <f>F436*2.87%</f>
        <v>430.5</v>
      </c>
      <c r="L436" s="22">
        <f>F436*7.1%</f>
        <v>1065</v>
      </c>
      <c r="M436" s="22">
        <v>195</v>
      </c>
      <c r="N436" s="22">
        <v>456</v>
      </c>
      <c r="O436" s="22">
        <v>1063.5</v>
      </c>
      <c r="P436" s="22">
        <v>0</v>
      </c>
      <c r="Q436" s="21">
        <f>K436+N436</f>
        <v>886.5</v>
      </c>
      <c r="R436" s="21">
        <f>G436+H436+I436+J436+K436+N436+P436</f>
        <v>911.5</v>
      </c>
      <c r="S436" s="21">
        <f>L436+M436+O436</f>
        <v>2323.5</v>
      </c>
      <c r="T436" s="21">
        <f>F436-R436</f>
        <v>14088.5</v>
      </c>
      <c r="U436" s="24" t="s">
        <v>30</v>
      </c>
    </row>
    <row r="437" spans="1:21" ht="15.75" customHeight="1">
      <c r="A437" s="23">
        <v>422</v>
      </c>
      <c r="B437" s="23" t="s">
        <v>526</v>
      </c>
      <c r="C437" s="23" t="s">
        <v>527</v>
      </c>
      <c r="D437" s="23" t="s">
        <v>351</v>
      </c>
      <c r="E437" s="24" t="s">
        <v>29</v>
      </c>
      <c r="F437" s="21">
        <v>80000</v>
      </c>
      <c r="G437" s="22">
        <v>7400.87</v>
      </c>
      <c r="H437" s="22">
        <v>25</v>
      </c>
      <c r="I437" s="22">
        <v>0</v>
      </c>
      <c r="J437" s="22">
        <v>0</v>
      </c>
      <c r="K437" s="22">
        <f>F437*2.87%</f>
        <v>2296</v>
      </c>
      <c r="L437" s="22">
        <f>F437*7.1%</f>
        <v>5679.9999999999991</v>
      </c>
      <c r="M437" s="22">
        <v>972.5</v>
      </c>
      <c r="N437" s="22">
        <v>2432</v>
      </c>
      <c r="O437" s="22">
        <v>5672</v>
      </c>
      <c r="P437" s="22">
        <v>0</v>
      </c>
      <c r="Q437" s="21">
        <f>K437+N437</f>
        <v>4728</v>
      </c>
      <c r="R437" s="21">
        <f>G437+H437+I437+J437+K437+N437+P437</f>
        <v>12153.869999999999</v>
      </c>
      <c r="S437" s="21">
        <f>L437+M437+O437</f>
        <v>12324.5</v>
      </c>
      <c r="T437" s="21">
        <f>F437-R437</f>
        <v>67846.13</v>
      </c>
      <c r="U437" s="24" t="s">
        <v>36</v>
      </c>
    </row>
    <row r="438" spans="1:21" ht="15.75" customHeight="1">
      <c r="A438" s="23">
        <v>423</v>
      </c>
      <c r="B438" s="23" t="s">
        <v>528</v>
      </c>
      <c r="C438" s="23" t="s">
        <v>63</v>
      </c>
      <c r="D438" s="23" t="s">
        <v>98</v>
      </c>
      <c r="E438" s="24" t="s">
        <v>29</v>
      </c>
      <c r="F438" s="21">
        <v>25000</v>
      </c>
      <c r="G438" s="22">
        <v>0</v>
      </c>
      <c r="H438" s="22">
        <v>25</v>
      </c>
      <c r="I438" s="22">
        <v>0</v>
      </c>
      <c r="J438" s="22">
        <v>0</v>
      </c>
      <c r="K438" s="22">
        <f>F438*2.87%</f>
        <v>717.5</v>
      </c>
      <c r="L438" s="22">
        <f>F438*7.1%</f>
        <v>1774.9999999999998</v>
      </c>
      <c r="M438" s="22">
        <v>325</v>
      </c>
      <c r="N438" s="22">
        <v>760</v>
      </c>
      <c r="O438" s="22">
        <v>1772.5</v>
      </c>
      <c r="P438" s="22">
        <v>0</v>
      </c>
      <c r="Q438" s="21">
        <f>K438+N438</f>
        <v>1477.5</v>
      </c>
      <c r="R438" s="21">
        <f>G438+H438+I438+J438+K438+N438+P438</f>
        <v>1502.5</v>
      </c>
      <c r="S438" s="21">
        <f>L438+M438+O438</f>
        <v>3872.5</v>
      </c>
      <c r="T438" s="21">
        <f>F438-R438</f>
        <v>23497.5</v>
      </c>
      <c r="U438" s="24" t="s">
        <v>30</v>
      </c>
    </row>
    <row r="439" spans="1:21" ht="15.75" customHeight="1">
      <c r="A439" s="19">
        <v>424</v>
      </c>
      <c r="B439" s="23" t="s">
        <v>529</v>
      </c>
      <c r="C439" s="23" t="s">
        <v>66</v>
      </c>
      <c r="D439" s="23" t="s">
        <v>61</v>
      </c>
      <c r="E439" s="24" t="s">
        <v>29</v>
      </c>
      <c r="F439" s="21">
        <v>25000</v>
      </c>
      <c r="G439" s="22">
        <v>0</v>
      </c>
      <c r="H439" s="22">
        <v>25</v>
      </c>
      <c r="I439" s="22">
        <v>0</v>
      </c>
      <c r="J439" s="22">
        <v>0</v>
      </c>
      <c r="K439" s="22">
        <f>F439*2.87%</f>
        <v>717.5</v>
      </c>
      <c r="L439" s="22">
        <f>F439*7.1%</f>
        <v>1774.9999999999998</v>
      </c>
      <c r="M439" s="22">
        <v>325</v>
      </c>
      <c r="N439" s="22">
        <v>760</v>
      </c>
      <c r="O439" s="22">
        <v>1772.5000000000002</v>
      </c>
      <c r="P439" s="22">
        <v>0</v>
      </c>
      <c r="Q439" s="21">
        <f>K439+N439</f>
        <v>1477.5</v>
      </c>
      <c r="R439" s="21">
        <f>G439+H439+I439+J439+K439+N439+P439</f>
        <v>1502.5</v>
      </c>
      <c r="S439" s="21">
        <f>L439+M439+O439</f>
        <v>3872.5</v>
      </c>
      <c r="T439" s="21">
        <f>F439-R439</f>
        <v>23497.5</v>
      </c>
      <c r="U439" s="24" t="s">
        <v>30</v>
      </c>
    </row>
    <row r="440" spans="1:21" ht="15.75" customHeight="1">
      <c r="A440" s="23">
        <v>425</v>
      </c>
      <c r="B440" s="23" t="s">
        <v>530</v>
      </c>
      <c r="C440" s="23" t="s">
        <v>88</v>
      </c>
      <c r="D440" s="23" t="s">
        <v>72</v>
      </c>
      <c r="E440" s="24" t="s">
        <v>29</v>
      </c>
      <c r="F440" s="21">
        <v>10000</v>
      </c>
      <c r="G440" s="22">
        <v>0</v>
      </c>
      <c r="H440" s="22">
        <v>25</v>
      </c>
      <c r="I440" s="22">
        <v>0</v>
      </c>
      <c r="J440" s="22">
        <f>500+300</f>
        <v>800</v>
      </c>
      <c r="K440" s="22">
        <f>F440*2.87%</f>
        <v>287</v>
      </c>
      <c r="L440" s="22">
        <f>F440*7.1%</f>
        <v>709.99999999999989</v>
      </c>
      <c r="M440" s="22">
        <v>130</v>
      </c>
      <c r="N440" s="22">
        <v>304</v>
      </c>
      <c r="O440" s="22">
        <v>709</v>
      </c>
      <c r="P440" s="22">
        <v>0</v>
      </c>
      <c r="Q440" s="21">
        <f>K440+N440</f>
        <v>591</v>
      </c>
      <c r="R440" s="21">
        <f>G440+H440+I440+J440+K440+N440+P440</f>
        <v>1416</v>
      </c>
      <c r="S440" s="21">
        <f>L440+M440+O440</f>
        <v>1549</v>
      </c>
      <c r="T440" s="21">
        <f>F440-R440</f>
        <v>8584</v>
      </c>
      <c r="U440" s="24" t="s">
        <v>30</v>
      </c>
    </row>
    <row r="441" spans="1:21" ht="15.75" customHeight="1">
      <c r="A441" s="23">
        <v>426</v>
      </c>
      <c r="B441" s="23" t="s">
        <v>531</v>
      </c>
      <c r="C441" s="23" t="s">
        <v>48</v>
      </c>
      <c r="D441" s="23" t="s">
        <v>433</v>
      </c>
      <c r="E441" s="24" t="s">
        <v>29</v>
      </c>
      <c r="F441" s="21">
        <v>35000</v>
      </c>
      <c r="G441" s="22">
        <v>0</v>
      </c>
      <c r="H441" s="22">
        <v>25</v>
      </c>
      <c r="I441" s="22">
        <v>0</v>
      </c>
      <c r="J441" s="22">
        <f>500+500+4843.68</f>
        <v>5843.68</v>
      </c>
      <c r="K441" s="22">
        <f>F441*2.87%</f>
        <v>1004.5</v>
      </c>
      <c r="L441" s="22">
        <f>F441*7.1%</f>
        <v>2485</v>
      </c>
      <c r="M441" s="22">
        <v>455</v>
      </c>
      <c r="N441" s="22">
        <v>1064</v>
      </c>
      <c r="O441" s="22">
        <v>2481.5</v>
      </c>
      <c r="P441" s="22">
        <v>0</v>
      </c>
      <c r="Q441" s="21">
        <f>K441+N441</f>
        <v>2068.5</v>
      </c>
      <c r="R441" s="21">
        <f>G441+H441+I441+J441+K441+N441+P441</f>
        <v>7937.18</v>
      </c>
      <c r="S441" s="21">
        <f>L441+M441+O441</f>
        <v>5421.5</v>
      </c>
      <c r="T441" s="21">
        <f>F441-R441</f>
        <v>27062.82</v>
      </c>
      <c r="U441" s="24" t="s">
        <v>36</v>
      </c>
    </row>
    <row r="442" spans="1:21" ht="15.75" customHeight="1">
      <c r="A442" s="19">
        <v>427</v>
      </c>
      <c r="B442" s="23" t="s">
        <v>532</v>
      </c>
      <c r="C442" s="23" t="s">
        <v>71</v>
      </c>
      <c r="D442" s="23" t="s">
        <v>72</v>
      </c>
      <c r="E442" s="24" t="s">
        <v>29</v>
      </c>
      <c r="F442" s="21">
        <v>18000</v>
      </c>
      <c r="G442" s="22">
        <v>0</v>
      </c>
      <c r="H442" s="22">
        <v>25</v>
      </c>
      <c r="I442" s="22">
        <v>0</v>
      </c>
      <c r="J442" s="22">
        <v>0</v>
      </c>
      <c r="K442" s="22">
        <f>F442*2.87%</f>
        <v>516.6</v>
      </c>
      <c r="L442" s="22">
        <f>F442*7.1%</f>
        <v>1277.9999999999998</v>
      </c>
      <c r="M442" s="22">
        <v>234</v>
      </c>
      <c r="N442" s="22">
        <v>547.20000000000005</v>
      </c>
      <c r="O442" s="22">
        <v>1276.2</v>
      </c>
      <c r="P442" s="22">
        <v>0</v>
      </c>
      <c r="Q442" s="21">
        <f>K442+N442</f>
        <v>1063.8000000000002</v>
      </c>
      <c r="R442" s="21">
        <f>G442+H442+I442+J442+K442+N442+P442</f>
        <v>1088.8000000000002</v>
      </c>
      <c r="S442" s="21">
        <f>L442+M442+O442</f>
        <v>2788.2</v>
      </c>
      <c r="T442" s="21">
        <f>F442-R442</f>
        <v>16911.2</v>
      </c>
      <c r="U442" s="24" t="s">
        <v>36</v>
      </c>
    </row>
    <row r="443" spans="1:21" ht="15.75" customHeight="1">
      <c r="A443" s="23">
        <v>428</v>
      </c>
      <c r="B443" s="23" t="s">
        <v>533</v>
      </c>
      <c r="C443" s="23" t="s">
        <v>68</v>
      </c>
      <c r="D443" s="23" t="s">
        <v>138</v>
      </c>
      <c r="E443" s="24" t="s">
        <v>29</v>
      </c>
      <c r="F443" s="21">
        <v>18000</v>
      </c>
      <c r="G443" s="22">
        <v>0</v>
      </c>
      <c r="H443" s="22">
        <v>25</v>
      </c>
      <c r="I443" s="22">
        <v>0</v>
      </c>
      <c r="J443" s="22">
        <f>600+300</f>
        <v>900</v>
      </c>
      <c r="K443" s="22">
        <f>F443*2.87%</f>
        <v>516.6</v>
      </c>
      <c r="L443" s="22">
        <f>F443*7.1%</f>
        <v>1277.9999999999998</v>
      </c>
      <c r="M443" s="22">
        <v>234</v>
      </c>
      <c r="N443" s="22">
        <v>547.20000000000005</v>
      </c>
      <c r="O443" s="22">
        <v>1276.2</v>
      </c>
      <c r="P443" s="22">
        <v>0</v>
      </c>
      <c r="Q443" s="21">
        <f>K443+N443</f>
        <v>1063.8000000000002</v>
      </c>
      <c r="R443" s="21">
        <f>G443+H443+I443+J443+K443+N443+P443</f>
        <v>1988.8</v>
      </c>
      <c r="S443" s="21">
        <f>L443+M443+O443</f>
        <v>2788.2</v>
      </c>
      <c r="T443" s="21">
        <f>F443-R443</f>
        <v>16011.2</v>
      </c>
      <c r="U443" s="24" t="s">
        <v>36</v>
      </c>
    </row>
    <row r="444" spans="1:21" ht="15.75" customHeight="1">
      <c r="A444" s="23">
        <v>429</v>
      </c>
      <c r="B444" s="23" t="s">
        <v>534</v>
      </c>
      <c r="C444" s="23" t="s">
        <v>535</v>
      </c>
      <c r="D444" s="23" t="s">
        <v>98</v>
      </c>
      <c r="E444" s="24" t="s">
        <v>317</v>
      </c>
      <c r="F444" s="21">
        <v>20000</v>
      </c>
      <c r="G444" s="22">
        <v>0</v>
      </c>
      <c r="H444" s="22">
        <v>25</v>
      </c>
      <c r="I444" s="22">
        <v>0</v>
      </c>
      <c r="J444" s="22">
        <v>0</v>
      </c>
      <c r="K444" s="22">
        <f>F444*2.87%</f>
        <v>574</v>
      </c>
      <c r="L444" s="22">
        <f>F444*7.1%</f>
        <v>1419.9999999999998</v>
      </c>
      <c r="M444" s="22">
        <v>260</v>
      </c>
      <c r="N444" s="22">
        <v>608</v>
      </c>
      <c r="O444" s="22">
        <v>1418</v>
      </c>
      <c r="P444" s="22">
        <v>0</v>
      </c>
      <c r="Q444" s="21">
        <f>K444+N444</f>
        <v>1182</v>
      </c>
      <c r="R444" s="21">
        <f>G444+H444+I444+J444+K444+N444+P444</f>
        <v>1207</v>
      </c>
      <c r="S444" s="21">
        <f>L444+M444+O444</f>
        <v>3098</v>
      </c>
      <c r="T444" s="21">
        <f>F444-R444</f>
        <v>18793</v>
      </c>
      <c r="U444" s="24" t="s">
        <v>30</v>
      </c>
    </row>
    <row r="445" spans="1:21" ht="15.75" customHeight="1">
      <c r="A445" s="19">
        <v>430</v>
      </c>
      <c r="B445" s="23" t="s">
        <v>536</v>
      </c>
      <c r="C445" s="23" t="s">
        <v>537</v>
      </c>
      <c r="D445" s="23" t="s">
        <v>98</v>
      </c>
      <c r="E445" s="24" t="s">
        <v>29</v>
      </c>
      <c r="F445" s="21">
        <v>14000</v>
      </c>
      <c r="G445" s="22">
        <v>0</v>
      </c>
      <c r="H445" s="22">
        <v>25</v>
      </c>
      <c r="I445" s="22">
        <v>0</v>
      </c>
      <c r="J445" s="22">
        <f>700+300+1936.51+7085.75</f>
        <v>10022.26</v>
      </c>
      <c r="K445" s="22">
        <f>F445*2.87%</f>
        <v>401.8</v>
      </c>
      <c r="L445" s="22">
        <f>F445*7.1%</f>
        <v>993.99999999999989</v>
      </c>
      <c r="M445" s="22">
        <v>182</v>
      </c>
      <c r="N445" s="22">
        <v>425.6</v>
      </c>
      <c r="O445" s="22">
        <v>992.6</v>
      </c>
      <c r="P445" s="22">
        <v>0</v>
      </c>
      <c r="Q445" s="21">
        <f>K445+N445</f>
        <v>827.40000000000009</v>
      </c>
      <c r="R445" s="21">
        <f>G445+H445+I445+J445+K445+N445+P445</f>
        <v>10874.66</v>
      </c>
      <c r="S445" s="21">
        <f>L445+M445+O445</f>
        <v>2168.6</v>
      </c>
      <c r="T445" s="21">
        <f>F445-R445</f>
        <v>3125.34</v>
      </c>
      <c r="U445" s="24" t="s">
        <v>30</v>
      </c>
    </row>
    <row r="446" spans="1:21" ht="15.75" customHeight="1">
      <c r="A446" s="23">
        <v>431</v>
      </c>
      <c r="B446" s="23" t="s">
        <v>538</v>
      </c>
      <c r="C446" s="23" t="s">
        <v>68</v>
      </c>
      <c r="D446" s="23" t="s">
        <v>55</v>
      </c>
      <c r="E446" s="24" t="s">
        <v>29</v>
      </c>
      <c r="F446" s="21">
        <v>15000</v>
      </c>
      <c r="G446" s="22">
        <v>0</v>
      </c>
      <c r="H446" s="22">
        <v>25</v>
      </c>
      <c r="I446" s="22">
        <v>0</v>
      </c>
      <c r="J446" s="22">
        <v>0</v>
      </c>
      <c r="K446" s="22">
        <f>F446*2.87%</f>
        <v>430.5</v>
      </c>
      <c r="L446" s="22">
        <f>F446*7.1%</f>
        <v>1065</v>
      </c>
      <c r="M446" s="22">
        <v>195</v>
      </c>
      <c r="N446" s="22">
        <v>456</v>
      </c>
      <c r="O446" s="22">
        <v>1063.5</v>
      </c>
      <c r="P446" s="22">
        <v>0</v>
      </c>
      <c r="Q446" s="21">
        <f>K446+N446</f>
        <v>886.5</v>
      </c>
      <c r="R446" s="21">
        <f>G446+H446+I446+J446+K446+N446+P446</f>
        <v>911.5</v>
      </c>
      <c r="S446" s="21">
        <f>L446+M446+O446</f>
        <v>2323.5</v>
      </c>
      <c r="T446" s="21">
        <f>F446-R446</f>
        <v>14088.5</v>
      </c>
      <c r="U446" s="24" t="s">
        <v>36</v>
      </c>
    </row>
    <row r="447" spans="1:21" ht="15.75" customHeight="1">
      <c r="A447" s="23">
        <v>432</v>
      </c>
      <c r="B447" s="23" t="s">
        <v>539</v>
      </c>
      <c r="C447" s="23" t="s">
        <v>88</v>
      </c>
      <c r="D447" s="23" t="s">
        <v>58</v>
      </c>
      <c r="E447" s="24" t="s">
        <v>29</v>
      </c>
      <c r="F447" s="21">
        <v>10000</v>
      </c>
      <c r="G447" s="22">
        <v>0</v>
      </c>
      <c r="H447" s="22">
        <v>25</v>
      </c>
      <c r="I447" s="22">
        <v>0</v>
      </c>
      <c r="J447" s="22">
        <f>1000+300+0.91</f>
        <v>1300.9100000000001</v>
      </c>
      <c r="K447" s="22">
        <f>F447*2.87%</f>
        <v>287</v>
      </c>
      <c r="L447" s="22">
        <f>F447*7.1%</f>
        <v>709.99999999999989</v>
      </c>
      <c r="M447" s="22">
        <v>130</v>
      </c>
      <c r="N447" s="22">
        <v>304</v>
      </c>
      <c r="O447" s="22">
        <v>709</v>
      </c>
      <c r="P447" s="22">
        <v>1587.38</v>
      </c>
      <c r="Q447" s="21">
        <f>K447+N447</f>
        <v>591</v>
      </c>
      <c r="R447" s="21">
        <f>G447+H447+I447+J447+K447+N447+P447</f>
        <v>3504.29</v>
      </c>
      <c r="S447" s="21">
        <f>L447+M447+O447</f>
        <v>1549</v>
      </c>
      <c r="T447" s="21">
        <f>F447-R447</f>
        <v>6495.71</v>
      </c>
      <c r="U447" s="24" t="s">
        <v>36</v>
      </c>
    </row>
    <row r="448" spans="1:21" ht="15.75" customHeight="1">
      <c r="A448" s="19">
        <v>433</v>
      </c>
      <c r="B448" s="23" t="s">
        <v>540</v>
      </c>
      <c r="C448" s="23" t="s">
        <v>176</v>
      </c>
      <c r="D448" s="23" t="s">
        <v>177</v>
      </c>
      <c r="E448" s="24" t="s">
        <v>29</v>
      </c>
      <c r="F448" s="21">
        <v>20000</v>
      </c>
      <c r="G448" s="22">
        <v>0</v>
      </c>
      <c r="H448" s="22">
        <v>25</v>
      </c>
      <c r="I448" s="22">
        <v>0</v>
      </c>
      <c r="J448" s="22">
        <v>0</v>
      </c>
      <c r="K448" s="22">
        <f>F448*2.87%</f>
        <v>574</v>
      </c>
      <c r="L448" s="22">
        <f>F448*7.1%</f>
        <v>1419.9999999999998</v>
      </c>
      <c r="M448" s="22">
        <v>260</v>
      </c>
      <c r="N448" s="22">
        <v>608</v>
      </c>
      <c r="O448" s="22">
        <v>1418</v>
      </c>
      <c r="P448" s="22">
        <v>0</v>
      </c>
      <c r="Q448" s="21">
        <f>K448+N448</f>
        <v>1182</v>
      </c>
      <c r="R448" s="21">
        <f>G448+H448+I448+J448+K448+N448+P448</f>
        <v>1207</v>
      </c>
      <c r="S448" s="21">
        <f>L448+M448+O448</f>
        <v>3098</v>
      </c>
      <c r="T448" s="21">
        <f>F448-R448</f>
        <v>18793</v>
      </c>
      <c r="U448" s="24" t="s">
        <v>36</v>
      </c>
    </row>
    <row r="449" spans="1:21" ht="15.75" customHeight="1">
      <c r="A449" s="23">
        <v>434</v>
      </c>
      <c r="B449" s="23" t="s">
        <v>541</v>
      </c>
      <c r="C449" s="23" t="s">
        <v>66</v>
      </c>
      <c r="D449" s="23" t="s">
        <v>61</v>
      </c>
      <c r="E449" s="24" t="s">
        <v>29</v>
      </c>
      <c r="F449" s="21">
        <v>20000</v>
      </c>
      <c r="G449" s="22">
        <v>0</v>
      </c>
      <c r="H449" s="22">
        <v>25</v>
      </c>
      <c r="I449" s="22">
        <v>0</v>
      </c>
      <c r="J449" s="22">
        <v>0</v>
      </c>
      <c r="K449" s="22">
        <f>F449*2.87%</f>
        <v>574</v>
      </c>
      <c r="L449" s="22">
        <f>F449*7.1%</f>
        <v>1419.9999999999998</v>
      </c>
      <c r="M449" s="22">
        <v>260</v>
      </c>
      <c r="N449" s="22">
        <v>608</v>
      </c>
      <c r="O449" s="22">
        <v>1418</v>
      </c>
      <c r="P449" s="22">
        <v>0</v>
      </c>
      <c r="Q449" s="21">
        <f>K449+N449</f>
        <v>1182</v>
      </c>
      <c r="R449" s="21">
        <f>G449+H449+I449+J449+K449+N449+P449</f>
        <v>1207</v>
      </c>
      <c r="S449" s="21">
        <f>L449+M449+O449</f>
        <v>3098</v>
      </c>
      <c r="T449" s="21">
        <f>F449-R449</f>
        <v>18793</v>
      </c>
      <c r="U449" s="24" t="s">
        <v>30</v>
      </c>
    </row>
    <row r="450" spans="1:21" ht="15.75" customHeight="1">
      <c r="A450" s="23">
        <v>435</v>
      </c>
      <c r="B450" s="23" t="s">
        <v>542</v>
      </c>
      <c r="C450" s="23" t="s">
        <v>71</v>
      </c>
      <c r="D450" s="23" t="s">
        <v>72</v>
      </c>
      <c r="E450" s="24" t="s">
        <v>29</v>
      </c>
      <c r="F450" s="21">
        <v>10000</v>
      </c>
      <c r="G450" s="22">
        <v>0</v>
      </c>
      <c r="H450" s="22">
        <v>25</v>
      </c>
      <c r="I450" s="22">
        <v>0</v>
      </c>
      <c r="J450" s="22">
        <v>0</v>
      </c>
      <c r="K450" s="22">
        <f>F450*2.87%</f>
        <v>287</v>
      </c>
      <c r="L450" s="22">
        <f>F450*7.1%</f>
        <v>709.99999999999989</v>
      </c>
      <c r="M450" s="22">
        <v>130</v>
      </c>
      <c r="N450" s="22">
        <v>304</v>
      </c>
      <c r="O450" s="22">
        <v>709</v>
      </c>
      <c r="P450" s="22">
        <v>0</v>
      </c>
      <c r="Q450" s="21">
        <f>K450+N450</f>
        <v>591</v>
      </c>
      <c r="R450" s="21">
        <f>G450+H450+I450+J450+K450+N450+P450</f>
        <v>616</v>
      </c>
      <c r="S450" s="21">
        <f>L450+M450+O450</f>
        <v>1549</v>
      </c>
      <c r="T450" s="21">
        <f>F450-R450</f>
        <v>9384</v>
      </c>
      <c r="U450" s="24" t="s">
        <v>36</v>
      </c>
    </row>
    <row r="451" spans="1:21" ht="15.75" customHeight="1">
      <c r="A451" s="19">
        <v>436</v>
      </c>
      <c r="B451" s="23" t="s">
        <v>543</v>
      </c>
      <c r="C451" s="23" t="s">
        <v>88</v>
      </c>
      <c r="D451" s="23" t="s">
        <v>58</v>
      </c>
      <c r="E451" s="24" t="s">
        <v>29</v>
      </c>
      <c r="F451" s="21">
        <v>10000</v>
      </c>
      <c r="G451" s="22">
        <v>0</v>
      </c>
      <c r="H451" s="22">
        <v>25</v>
      </c>
      <c r="I451" s="22">
        <v>0</v>
      </c>
      <c r="J451" s="22">
        <f>1000+300+2285</f>
        <v>3585</v>
      </c>
      <c r="K451" s="22">
        <f>F451*2.87%</f>
        <v>287</v>
      </c>
      <c r="L451" s="22">
        <f>F451*7.1%</f>
        <v>709.99999999999989</v>
      </c>
      <c r="M451" s="22">
        <v>130</v>
      </c>
      <c r="N451" s="22">
        <v>304</v>
      </c>
      <c r="O451" s="22">
        <v>709</v>
      </c>
      <c r="P451" s="22">
        <v>0</v>
      </c>
      <c r="Q451" s="21">
        <f>K451+N451</f>
        <v>591</v>
      </c>
      <c r="R451" s="21">
        <f>G451+H451+I451+J451+K451+N451+P451</f>
        <v>4201</v>
      </c>
      <c r="S451" s="21">
        <f>L451+M451+O451</f>
        <v>1549</v>
      </c>
      <c r="T451" s="21">
        <f>F451-R451</f>
        <v>5799</v>
      </c>
      <c r="U451" s="24" t="s">
        <v>36</v>
      </c>
    </row>
    <row r="452" spans="1:21" ht="15.75" customHeight="1">
      <c r="A452" s="23">
        <v>437</v>
      </c>
      <c r="B452" s="23" t="s">
        <v>749</v>
      </c>
      <c r="C452" s="23" t="s">
        <v>68</v>
      </c>
      <c r="D452" s="23" t="s">
        <v>72</v>
      </c>
      <c r="E452" s="24" t="s">
        <v>29</v>
      </c>
      <c r="F452" s="21">
        <v>18000</v>
      </c>
      <c r="G452" s="22">
        <v>0</v>
      </c>
      <c r="H452" s="22">
        <v>25</v>
      </c>
      <c r="I452" s="22">
        <v>0</v>
      </c>
      <c r="J452" s="22">
        <v>0</v>
      </c>
      <c r="K452" s="22">
        <f>F452*2.87%</f>
        <v>516.6</v>
      </c>
      <c r="L452" s="22">
        <f>F452*7.1%</f>
        <v>1277.9999999999998</v>
      </c>
      <c r="M452" s="22">
        <v>234</v>
      </c>
      <c r="N452" s="22">
        <v>547.20000000000005</v>
      </c>
      <c r="O452" s="22">
        <v>1276.2</v>
      </c>
      <c r="P452" s="22">
        <v>0</v>
      </c>
      <c r="Q452" s="21">
        <f>K452+N452</f>
        <v>1063.8000000000002</v>
      </c>
      <c r="R452" s="21">
        <f>G452+H452+I452+J452+K452+N452+P452</f>
        <v>1088.8000000000002</v>
      </c>
      <c r="S452" s="21">
        <f>L452+M452+O452</f>
        <v>2788.2</v>
      </c>
      <c r="T452" s="21">
        <f>F452-R452</f>
        <v>16911.2</v>
      </c>
      <c r="U452" s="24" t="s">
        <v>36</v>
      </c>
    </row>
    <row r="453" spans="1:21" ht="15.75" customHeight="1">
      <c r="A453" s="23">
        <v>438</v>
      </c>
      <c r="B453" s="23" t="s">
        <v>544</v>
      </c>
      <c r="C453" s="23" t="s">
        <v>88</v>
      </c>
      <c r="D453" s="23" t="s">
        <v>61</v>
      </c>
      <c r="E453" s="24" t="s">
        <v>29</v>
      </c>
      <c r="F453" s="21">
        <v>15000</v>
      </c>
      <c r="G453" s="22">
        <v>0</v>
      </c>
      <c r="H453" s="22">
        <v>25</v>
      </c>
      <c r="I453" s="22">
        <v>0</v>
      </c>
      <c r="J453" s="22">
        <v>0</v>
      </c>
      <c r="K453" s="22">
        <f>F453*2.87%</f>
        <v>430.5</v>
      </c>
      <c r="L453" s="22">
        <f>F453*7.1%</f>
        <v>1065</v>
      </c>
      <c r="M453" s="22">
        <v>195</v>
      </c>
      <c r="N453" s="22">
        <v>456</v>
      </c>
      <c r="O453" s="22">
        <v>1063.5</v>
      </c>
      <c r="P453" s="22">
        <v>0</v>
      </c>
      <c r="Q453" s="21">
        <f>K453+N453</f>
        <v>886.5</v>
      </c>
      <c r="R453" s="21">
        <f>G453+H453+I453+J453+K453+N453+P453</f>
        <v>911.5</v>
      </c>
      <c r="S453" s="21">
        <f>L453+M453+O453</f>
        <v>2323.5</v>
      </c>
      <c r="T453" s="21">
        <f>F453-R453</f>
        <v>14088.5</v>
      </c>
      <c r="U453" s="24" t="s">
        <v>30</v>
      </c>
    </row>
    <row r="454" spans="1:21" ht="15.75" customHeight="1">
      <c r="A454" s="19">
        <v>439</v>
      </c>
      <c r="B454" s="23" t="s">
        <v>545</v>
      </c>
      <c r="C454" s="23" t="s">
        <v>57</v>
      </c>
      <c r="D454" s="23" t="s">
        <v>58</v>
      </c>
      <c r="E454" s="24" t="s">
        <v>29</v>
      </c>
      <c r="F454" s="21">
        <v>15000</v>
      </c>
      <c r="G454" s="22">
        <v>0</v>
      </c>
      <c r="H454" s="22">
        <v>25</v>
      </c>
      <c r="I454" s="22">
        <v>0</v>
      </c>
      <c r="J454" s="22">
        <v>0</v>
      </c>
      <c r="K454" s="22">
        <f>F454*2.87%</f>
        <v>430.5</v>
      </c>
      <c r="L454" s="22">
        <f>F454*7.1%</f>
        <v>1065</v>
      </c>
      <c r="M454" s="22">
        <v>195</v>
      </c>
      <c r="N454" s="22">
        <v>456</v>
      </c>
      <c r="O454" s="22">
        <v>1063.5</v>
      </c>
      <c r="P454" s="22">
        <v>0</v>
      </c>
      <c r="Q454" s="21">
        <f>K454+N454</f>
        <v>886.5</v>
      </c>
      <c r="R454" s="21">
        <f>G454+H454+I454+J454+K454+N454+P454</f>
        <v>911.5</v>
      </c>
      <c r="S454" s="21">
        <f>L454+M454+O454</f>
        <v>2323.5</v>
      </c>
      <c r="T454" s="21">
        <f>F454-R454</f>
        <v>14088.5</v>
      </c>
      <c r="U454" s="24" t="s">
        <v>30</v>
      </c>
    </row>
    <row r="455" spans="1:21" ht="15.75" customHeight="1">
      <c r="A455" s="23">
        <v>440</v>
      </c>
      <c r="B455" s="23" t="s">
        <v>546</v>
      </c>
      <c r="C455" s="23" t="s">
        <v>326</v>
      </c>
      <c r="D455" s="23" t="s">
        <v>61</v>
      </c>
      <c r="E455" s="24" t="s">
        <v>29</v>
      </c>
      <c r="F455" s="21">
        <v>25000</v>
      </c>
      <c r="G455" s="22">
        <v>0</v>
      </c>
      <c r="H455" s="22">
        <v>25</v>
      </c>
      <c r="I455" s="22">
        <v>0</v>
      </c>
      <c r="J455" s="22">
        <v>0</v>
      </c>
      <c r="K455" s="22">
        <f>F455*2.87%</f>
        <v>717.5</v>
      </c>
      <c r="L455" s="22">
        <f>F455*7.1%</f>
        <v>1774.9999999999998</v>
      </c>
      <c r="M455" s="22">
        <v>325</v>
      </c>
      <c r="N455" s="22">
        <v>760</v>
      </c>
      <c r="O455" s="22">
        <v>1772.5000000000002</v>
      </c>
      <c r="P455" s="22">
        <v>0</v>
      </c>
      <c r="Q455" s="21">
        <f>K455+N455</f>
        <v>1477.5</v>
      </c>
      <c r="R455" s="21">
        <f>G455+H455+I455+J455+K455+N455+P455</f>
        <v>1502.5</v>
      </c>
      <c r="S455" s="21">
        <f>L455+M455+O455</f>
        <v>3872.5</v>
      </c>
      <c r="T455" s="21">
        <f>F455-R455</f>
        <v>23497.5</v>
      </c>
      <c r="U455" s="24" t="s">
        <v>36</v>
      </c>
    </row>
    <row r="456" spans="1:21" ht="15.75" customHeight="1">
      <c r="A456" s="23">
        <v>441</v>
      </c>
      <c r="B456" s="23" t="s">
        <v>547</v>
      </c>
      <c r="C456" s="23" t="s">
        <v>548</v>
      </c>
      <c r="D456" s="23" t="s">
        <v>69</v>
      </c>
      <c r="E456" s="24" t="s">
        <v>29</v>
      </c>
      <c r="F456" s="21">
        <v>30000</v>
      </c>
      <c r="G456" s="22">
        <v>0</v>
      </c>
      <c r="H456" s="22">
        <v>25</v>
      </c>
      <c r="I456" s="22">
        <v>0</v>
      </c>
      <c r="J456" s="22">
        <f>500+1000+969.82</f>
        <v>2469.8200000000002</v>
      </c>
      <c r="K456" s="22">
        <f>F456*2.87%</f>
        <v>861</v>
      </c>
      <c r="L456" s="22">
        <f>F456*7.1%</f>
        <v>2130</v>
      </c>
      <c r="M456" s="22">
        <v>390</v>
      </c>
      <c r="N456" s="22">
        <v>912</v>
      </c>
      <c r="O456" s="22">
        <v>2127</v>
      </c>
      <c r="P456" s="22">
        <v>0</v>
      </c>
      <c r="Q456" s="21">
        <f>K456+N456</f>
        <v>1773</v>
      </c>
      <c r="R456" s="21">
        <f>G456+H456+I456+J456+K456+N456+P456</f>
        <v>4267.82</v>
      </c>
      <c r="S456" s="21">
        <f>L456+M456+O456</f>
        <v>4647</v>
      </c>
      <c r="T456" s="21">
        <f>F456-R456</f>
        <v>25732.18</v>
      </c>
      <c r="U456" s="24" t="s">
        <v>36</v>
      </c>
    </row>
    <row r="457" spans="1:21" ht="15.75" customHeight="1">
      <c r="A457" s="19">
        <v>442</v>
      </c>
      <c r="B457" s="23" t="s">
        <v>549</v>
      </c>
      <c r="C457" s="23" t="s">
        <v>550</v>
      </c>
      <c r="D457" s="23" t="s">
        <v>72</v>
      </c>
      <c r="E457" s="24" t="s">
        <v>29</v>
      </c>
      <c r="F457" s="21">
        <v>12000</v>
      </c>
      <c r="G457" s="22">
        <v>0</v>
      </c>
      <c r="H457" s="22">
        <v>25</v>
      </c>
      <c r="I457" s="22">
        <v>0</v>
      </c>
      <c r="J457" s="22">
        <v>0</v>
      </c>
      <c r="K457" s="22">
        <f>F457*2.87%</f>
        <v>344.4</v>
      </c>
      <c r="L457" s="22">
        <f>F457*7.1%</f>
        <v>851.99999999999989</v>
      </c>
      <c r="M457" s="22">
        <v>156</v>
      </c>
      <c r="N457" s="22">
        <v>364.8</v>
      </c>
      <c r="O457" s="22">
        <v>850.80000000000007</v>
      </c>
      <c r="P457" s="22">
        <v>0</v>
      </c>
      <c r="Q457" s="21">
        <f>K457+N457</f>
        <v>709.2</v>
      </c>
      <c r="R457" s="21">
        <f>G457+H457+I457+J457+K457+N457+P457</f>
        <v>734.2</v>
      </c>
      <c r="S457" s="21">
        <f>L457+M457+O457</f>
        <v>1858.8</v>
      </c>
      <c r="T457" s="21">
        <f>F457-R457</f>
        <v>11265.8</v>
      </c>
      <c r="U457" s="24" t="s">
        <v>30</v>
      </c>
    </row>
    <row r="458" spans="1:21" ht="15.75" customHeight="1">
      <c r="A458" s="23">
        <v>443</v>
      </c>
      <c r="B458" s="23" t="s">
        <v>551</v>
      </c>
      <c r="C458" s="23" t="s">
        <v>51</v>
      </c>
      <c r="D458" s="23" t="s">
        <v>52</v>
      </c>
      <c r="E458" s="24" t="s">
        <v>29</v>
      </c>
      <c r="F458" s="21">
        <v>15000</v>
      </c>
      <c r="G458" s="22">
        <v>0</v>
      </c>
      <c r="H458" s="22">
        <v>25</v>
      </c>
      <c r="I458" s="22">
        <v>0</v>
      </c>
      <c r="J458" s="22">
        <v>0</v>
      </c>
      <c r="K458" s="22">
        <f>F458*2.87%</f>
        <v>430.5</v>
      </c>
      <c r="L458" s="22">
        <f>F458*7.1%</f>
        <v>1065</v>
      </c>
      <c r="M458" s="22">
        <v>195</v>
      </c>
      <c r="N458" s="22">
        <v>456</v>
      </c>
      <c r="O458" s="22">
        <v>1063.5</v>
      </c>
      <c r="P458" s="22">
        <v>0</v>
      </c>
      <c r="Q458" s="21">
        <f>K458+N458</f>
        <v>886.5</v>
      </c>
      <c r="R458" s="21">
        <f>G458+H458+I458+J458+K458+N458+P458</f>
        <v>911.5</v>
      </c>
      <c r="S458" s="21">
        <f>L458+M458+O458</f>
        <v>2323.5</v>
      </c>
      <c r="T458" s="21">
        <f>F458-R458</f>
        <v>14088.5</v>
      </c>
      <c r="U458" s="24" t="s">
        <v>30</v>
      </c>
    </row>
    <row r="459" spans="1:21" ht="15.75" customHeight="1">
      <c r="A459" s="23">
        <v>444</v>
      </c>
      <c r="B459" s="23" t="s">
        <v>552</v>
      </c>
      <c r="C459" s="23" t="s">
        <v>358</v>
      </c>
      <c r="D459" s="23" t="s">
        <v>78</v>
      </c>
      <c r="E459" s="24" t="s">
        <v>29</v>
      </c>
      <c r="F459" s="21">
        <v>11000</v>
      </c>
      <c r="G459" s="22">
        <v>0</v>
      </c>
      <c r="H459" s="22">
        <v>25</v>
      </c>
      <c r="I459" s="22">
        <v>0</v>
      </c>
      <c r="J459" s="22">
        <v>0</v>
      </c>
      <c r="K459" s="22">
        <f>F459*2.87%</f>
        <v>315.7</v>
      </c>
      <c r="L459" s="22">
        <f>F459*7.1%</f>
        <v>780.99999999999989</v>
      </c>
      <c r="M459" s="22">
        <v>143</v>
      </c>
      <c r="N459" s="22">
        <v>334.4</v>
      </c>
      <c r="O459" s="22">
        <v>779.90000000000009</v>
      </c>
      <c r="P459" s="22">
        <v>0</v>
      </c>
      <c r="Q459" s="21">
        <f>K459+N459</f>
        <v>650.09999999999991</v>
      </c>
      <c r="R459" s="21">
        <f>G459+H459+I459+J459+K459+N459+P459</f>
        <v>675.09999999999991</v>
      </c>
      <c r="S459" s="21">
        <f>L459+M459+O459</f>
        <v>1703.9</v>
      </c>
      <c r="T459" s="21">
        <f>F459-R459</f>
        <v>10324.9</v>
      </c>
      <c r="U459" s="24" t="s">
        <v>30</v>
      </c>
    </row>
    <row r="460" spans="1:21" ht="15.75" customHeight="1">
      <c r="A460" s="19">
        <v>445</v>
      </c>
      <c r="B460" s="23" t="s">
        <v>752</v>
      </c>
      <c r="C460" s="23" t="s">
        <v>753</v>
      </c>
      <c r="D460" s="23" t="s">
        <v>745</v>
      </c>
      <c r="E460" s="24" t="s">
        <v>29</v>
      </c>
      <c r="F460" s="21">
        <v>35000</v>
      </c>
      <c r="G460" s="22">
        <v>0</v>
      </c>
      <c r="H460" s="22">
        <v>25</v>
      </c>
      <c r="I460" s="22">
        <v>0</v>
      </c>
      <c r="J460" s="22">
        <v>0</v>
      </c>
      <c r="K460" s="22">
        <f>F460*2.87%</f>
        <v>1004.5</v>
      </c>
      <c r="L460" s="22">
        <f>F460*7.1%</f>
        <v>2485</v>
      </c>
      <c r="M460" s="22">
        <v>455</v>
      </c>
      <c r="N460" s="22">
        <v>1064</v>
      </c>
      <c r="O460" s="22">
        <v>2481.5</v>
      </c>
      <c r="P460" s="22">
        <v>0</v>
      </c>
      <c r="Q460" s="21">
        <f>K460+N460</f>
        <v>2068.5</v>
      </c>
      <c r="R460" s="21">
        <f>G460+H460+I460+J460+K460+N460+P460</f>
        <v>2093.5</v>
      </c>
      <c r="S460" s="21">
        <f>L460+M460+O460</f>
        <v>5421.5</v>
      </c>
      <c r="T460" s="21">
        <f>F460-R460</f>
        <v>32906.5</v>
      </c>
      <c r="U460" s="24" t="s">
        <v>30</v>
      </c>
    </row>
    <row r="461" spans="1:21" ht="15.75" customHeight="1">
      <c r="A461" s="23">
        <v>446</v>
      </c>
      <c r="B461" s="23" t="s">
        <v>553</v>
      </c>
      <c r="C461" s="23" t="s">
        <v>68</v>
      </c>
      <c r="D461" s="23" t="s">
        <v>55</v>
      </c>
      <c r="E461" s="24" t="s">
        <v>29</v>
      </c>
      <c r="F461" s="21">
        <v>35000</v>
      </c>
      <c r="G461" s="22">
        <v>0</v>
      </c>
      <c r="H461" s="22">
        <v>25</v>
      </c>
      <c r="I461" s="22">
        <v>0</v>
      </c>
      <c r="J461" s="22">
        <f>1000+300</f>
        <v>1300</v>
      </c>
      <c r="K461" s="22">
        <f>F461*2.87%</f>
        <v>1004.5</v>
      </c>
      <c r="L461" s="22">
        <f>F461*7.1%</f>
        <v>2485</v>
      </c>
      <c r="M461" s="22">
        <v>455</v>
      </c>
      <c r="N461" s="22">
        <v>1064</v>
      </c>
      <c r="O461" s="22">
        <v>2481.5</v>
      </c>
      <c r="P461" s="22">
        <v>1587.38</v>
      </c>
      <c r="Q461" s="21">
        <f>K461+N461</f>
        <v>2068.5</v>
      </c>
      <c r="R461" s="21">
        <f>G461+H461+I461+J461+K461+N461+P461</f>
        <v>4980.88</v>
      </c>
      <c r="S461" s="21">
        <f>L461+M461+O461</f>
        <v>5421.5</v>
      </c>
      <c r="T461" s="21">
        <f>F461-R461</f>
        <v>30019.119999999999</v>
      </c>
      <c r="U461" s="24" t="s">
        <v>36</v>
      </c>
    </row>
    <row r="462" spans="1:21" ht="15.75" customHeight="1">
      <c r="A462" s="23">
        <v>447</v>
      </c>
      <c r="B462" s="23" t="s">
        <v>554</v>
      </c>
      <c r="C462" s="23" t="s">
        <v>71</v>
      </c>
      <c r="D462" s="23" t="s">
        <v>72</v>
      </c>
      <c r="E462" s="24" t="s">
        <v>29</v>
      </c>
      <c r="F462" s="21">
        <v>10000</v>
      </c>
      <c r="G462" s="22">
        <v>0</v>
      </c>
      <c r="H462" s="22">
        <v>25</v>
      </c>
      <c r="I462" s="22">
        <v>0</v>
      </c>
      <c r="J462" s="22">
        <f>1000+300+3792.65</f>
        <v>5092.6499999999996</v>
      </c>
      <c r="K462" s="22">
        <f>F462*2.87%</f>
        <v>287</v>
      </c>
      <c r="L462" s="22">
        <f>F462*7.1%</f>
        <v>709.99999999999989</v>
      </c>
      <c r="M462" s="22">
        <v>130</v>
      </c>
      <c r="N462" s="22">
        <v>304</v>
      </c>
      <c r="O462" s="22">
        <v>709</v>
      </c>
      <c r="P462" s="22">
        <v>0</v>
      </c>
      <c r="Q462" s="21">
        <f>K462+N462</f>
        <v>591</v>
      </c>
      <c r="R462" s="21">
        <f>G462+H462+I462+J462+K462+N462+P462</f>
        <v>5708.65</v>
      </c>
      <c r="S462" s="21">
        <f>L462+M462+O462</f>
        <v>1549</v>
      </c>
      <c r="T462" s="21">
        <f>F462-R462</f>
        <v>4291.3500000000004</v>
      </c>
      <c r="U462" s="24" t="s">
        <v>36</v>
      </c>
    </row>
    <row r="463" spans="1:21" ht="15.75" customHeight="1">
      <c r="A463" s="19">
        <v>448</v>
      </c>
      <c r="B463" s="23" t="s">
        <v>555</v>
      </c>
      <c r="C463" s="23" t="s">
        <v>88</v>
      </c>
      <c r="D463" s="23" t="s">
        <v>61</v>
      </c>
      <c r="E463" s="24" t="s">
        <v>29</v>
      </c>
      <c r="F463" s="21">
        <v>10000</v>
      </c>
      <c r="G463" s="22">
        <v>0</v>
      </c>
      <c r="H463" s="22">
        <v>25</v>
      </c>
      <c r="I463" s="22">
        <v>0</v>
      </c>
      <c r="J463" s="22">
        <v>0</v>
      </c>
      <c r="K463" s="22">
        <f>F463*2.87%</f>
        <v>287</v>
      </c>
      <c r="L463" s="22">
        <f>F463*7.1%</f>
        <v>709.99999999999989</v>
      </c>
      <c r="M463" s="22">
        <v>130</v>
      </c>
      <c r="N463" s="22">
        <v>304</v>
      </c>
      <c r="O463" s="22">
        <v>709</v>
      </c>
      <c r="P463" s="22">
        <v>0</v>
      </c>
      <c r="Q463" s="21">
        <f>K463+N463</f>
        <v>591</v>
      </c>
      <c r="R463" s="21">
        <f>G463+H463+I463+J463+K463+N463+P463</f>
        <v>616</v>
      </c>
      <c r="S463" s="21">
        <f>L463+M463+O463</f>
        <v>1549</v>
      </c>
      <c r="T463" s="21">
        <f>F463-R463</f>
        <v>9384</v>
      </c>
      <c r="U463" s="24" t="s">
        <v>30</v>
      </c>
    </row>
    <row r="464" spans="1:21" ht="15.75" customHeight="1">
      <c r="A464" s="23">
        <v>449</v>
      </c>
      <c r="B464" s="23" t="s">
        <v>556</v>
      </c>
      <c r="C464" s="23" t="s">
        <v>88</v>
      </c>
      <c r="D464" s="23" t="s">
        <v>557</v>
      </c>
      <c r="E464" s="24" t="s">
        <v>29</v>
      </c>
      <c r="F464" s="21">
        <v>10000</v>
      </c>
      <c r="G464" s="22">
        <v>0</v>
      </c>
      <c r="H464" s="22">
        <v>25</v>
      </c>
      <c r="I464" s="22">
        <v>0</v>
      </c>
      <c r="J464" s="22">
        <v>0</v>
      </c>
      <c r="K464" s="22">
        <f>F464*2.87%</f>
        <v>287</v>
      </c>
      <c r="L464" s="22">
        <f>F464*7.1%</f>
        <v>709.99999999999989</v>
      </c>
      <c r="M464" s="22">
        <v>130</v>
      </c>
      <c r="N464" s="22">
        <v>304</v>
      </c>
      <c r="O464" s="22">
        <v>709</v>
      </c>
      <c r="P464" s="22">
        <v>0</v>
      </c>
      <c r="Q464" s="21">
        <f>K464+N464</f>
        <v>591</v>
      </c>
      <c r="R464" s="21">
        <f>G464+H464+I464+J464+K464+N464+P464</f>
        <v>616</v>
      </c>
      <c r="S464" s="21">
        <f>L464+M464+O464</f>
        <v>1549</v>
      </c>
      <c r="T464" s="21">
        <f>F464-R464</f>
        <v>9384</v>
      </c>
      <c r="U464" s="24" t="s">
        <v>30</v>
      </c>
    </row>
    <row r="465" spans="1:21" ht="15.75" customHeight="1">
      <c r="A465" s="23">
        <v>450</v>
      </c>
      <c r="B465" s="23" t="s">
        <v>558</v>
      </c>
      <c r="C465" s="23" t="s">
        <v>88</v>
      </c>
      <c r="D465" s="23" t="s">
        <v>61</v>
      </c>
      <c r="E465" s="24" t="s">
        <v>29</v>
      </c>
      <c r="F465" s="21">
        <v>10000</v>
      </c>
      <c r="G465" s="22">
        <v>0</v>
      </c>
      <c r="H465" s="22">
        <v>25</v>
      </c>
      <c r="I465" s="22">
        <v>0</v>
      </c>
      <c r="J465" s="22">
        <v>0</v>
      </c>
      <c r="K465" s="22">
        <f>F465*2.87%</f>
        <v>287</v>
      </c>
      <c r="L465" s="22">
        <f>F465*7.1%</f>
        <v>709.99999999999989</v>
      </c>
      <c r="M465" s="22">
        <v>130</v>
      </c>
      <c r="N465" s="22">
        <v>304</v>
      </c>
      <c r="O465" s="22">
        <v>709</v>
      </c>
      <c r="P465" s="22">
        <v>0</v>
      </c>
      <c r="Q465" s="21">
        <f>K465+N465</f>
        <v>591</v>
      </c>
      <c r="R465" s="21">
        <f>G465+H465+I465+J465+K465+N465+P465</f>
        <v>616</v>
      </c>
      <c r="S465" s="21">
        <f>L465+M465+O465</f>
        <v>1549</v>
      </c>
      <c r="T465" s="21">
        <f>F465-R465</f>
        <v>9384</v>
      </c>
      <c r="U465" s="24" t="s">
        <v>30</v>
      </c>
    </row>
    <row r="466" spans="1:21" ht="15.75" customHeight="1">
      <c r="A466" s="19">
        <v>451</v>
      </c>
      <c r="B466" s="23" t="s">
        <v>559</v>
      </c>
      <c r="C466" s="23" t="s">
        <v>88</v>
      </c>
      <c r="D466" s="23" t="s">
        <v>61</v>
      </c>
      <c r="E466" s="24" t="s">
        <v>317</v>
      </c>
      <c r="F466" s="21">
        <v>10000</v>
      </c>
      <c r="G466" s="22">
        <v>0</v>
      </c>
      <c r="H466" s="22">
        <v>25</v>
      </c>
      <c r="I466" s="22">
        <v>0</v>
      </c>
      <c r="J466" s="22">
        <v>0</v>
      </c>
      <c r="K466" s="22">
        <f>F466*2.87%</f>
        <v>287</v>
      </c>
      <c r="L466" s="22">
        <f>F466*7.1%</f>
        <v>709.99999999999989</v>
      </c>
      <c r="M466" s="22">
        <v>130</v>
      </c>
      <c r="N466" s="22">
        <v>304</v>
      </c>
      <c r="O466" s="22">
        <v>709</v>
      </c>
      <c r="P466" s="22">
        <v>0</v>
      </c>
      <c r="Q466" s="21">
        <f>K466+N466</f>
        <v>591</v>
      </c>
      <c r="R466" s="21">
        <f>G466+H466+I466+J466+K466+N466+P466</f>
        <v>616</v>
      </c>
      <c r="S466" s="21">
        <f>L466+M466+O466</f>
        <v>1549</v>
      </c>
      <c r="T466" s="21">
        <f>F466-R466</f>
        <v>9384</v>
      </c>
      <c r="U466" s="24" t="s">
        <v>30</v>
      </c>
    </row>
    <row r="467" spans="1:21" ht="15.75" customHeight="1">
      <c r="A467" s="23">
        <v>452</v>
      </c>
      <c r="B467" s="23" t="s">
        <v>560</v>
      </c>
      <c r="C467" s="23" t="s">
        <v>51</v>
      </c>
      <c r="D467" s="23" t="s">
        <v>52</v>
      </c>
      <c r="E467" s="24" t="s">
        <v>29</v>
      </c>
      <c r="F467" s="21">
        <v>10000</v>
      </c>
      <c r="G467" s="22">
        <v>0</v>
      </c>
      <c r="H467" s="22">
        <v>25</v>
      </c>
      <c r="I467" s="22">
        <v>0</v>
      </c>
      <c r="J467" s="22">
        <v>0</v>
      </c>
      <c r="K467" s="22">
        <f>F467*2.87%</f>
        <v>287</v>
      </c>
      <c r="L467" s="22">
        <f>F467*7.1%</f>
        <v>709.99999999999989</v>
      </c>
      <c r="M467" s="22">
        <v>130</v>
      </c>
      <c r="N467" s="22">
        <v>304</v>
      </c>
      <c r="O467" s="22">
        <v>709</v>
      </c>
      <c r="P467" s="22">
        <v>0</v>
      </c>
      <c r="Q467" s="21">
        <f>K467+N467</f>
        <v>591</v>
      </c>
      <c r="R467" s="21">
        <f>G467+H467+I467+J467+K467+N467+P467</f>
        <v>616</v>
      </c>
      <c r="S467" s="21">
        <f>L467+M467+O467</f>
        <v>1549</v>
      </c>
      <c r="T467" s="21">
        <f>F467-R467</f>
        <v>9384</v>
      </c>
      <c r="U467" s="24" t="s">
        <v>30</v>
      </c>
    </row>
    <row r="468" spans="1:21" ht="15.75" customHeight="1">
      <c r="A468" s="23">
        <v>453</v>
      </c>
      <c r="B468" s="23" t="s">
        <v>561</v>
      </c>
      <c r="C468" s="23" t="s">
        <v>149</v>
      </c>
      <c r="D468" s="23" t="s">
        <v>98</v>
      </c>
      <c r="E468" s="24" t="s">
        <v>29</v>
      </c>
      <c r="F468" s="21">
        <v>12870</v>
      </c>
      <c r="G468" s="22">
        <v>0</v>
      </c>
      <c r="H468" s="22">
        <v>25</v>
      </c>
      <c r="I468" s="22">
        <v>954.25</v>
      </c>
      <c r="J468" s="22">
        <f>500+300+2422.89+2402</f>
        <v>5624.8899999999994</v>
      </c>
      <c r="K468" s="22">
        <f>F468*2.87%</f>
        <v>369.36899999999997</v>
      </c>
      <c r="L468" s="22">
        <f>F468*7.1%</f>
        <v>913.76999999999987</v>
      </c>
      <c r="M468" s="22">
        <v>167.31</v>
      </c>
      <c r="N468" s="22">
        <v>391.24799999999999</v>
      </c>
      <c r="O468" s="22">
        <v>912.48300000000006</v>
      </c>
      <c r="P468" s="22">
        <v>0</v>
      </c>
      <c r="Q468" s="21">
        <f>K468+N468</f>
        <v>760.61699999999996</v>
      </c>
      <c r="R468" s="21">
        <f>G468+H468+I468+J468+K468+N468+P468</f>
        <v>7364.7569999999987</v>
      </c>
      <c r="S468" s="21">
        <f>L468+M468+O468</f>
        <v>1993.5630000000001</v>
      </c>
      <c r="T468" s="21">
        <f>F468-R468</f>
        <v>5505.2430000000013</v>
      </c>
      <c r="U468" s="24" t="s">
        <v>30</v>
      </c>
    </row>
    <row r="469" spans="1:21" ht="15.75" customHeight="1">
      <c r="A469" s="19">
        <v>454</v>
      </c>
      <c r="B469" s="23" t="s">
        <v>562</v>
      </c>
      <c r="C469" s="23" t="s">
        <v>368</v>
      </c>
      <c r="D469" s="23" t="s">
        <v>58</v>
      </c>
      <c r="E469" s="24" t="s">
        <v>29</v>
      </c>
      <c r="F469" s="21">
        <v>35000</v>
      </c>
      <c r="G469" s="22">
        <v>0</v>
      </c>
      <c r="H469" s="22">
        <v>25</v>
      </c>
      <c r="I469" s="22">
        <v>0</v>
      </c>
      <c r="J469" s="22">
        <v>0</v>
      </c>
      <c r="K469" s="22">
        <f>F469*2.87%</f>
        <v>1004.5</v>
      </c>
      <c r="L469" s="22">
        <f>F469*7.1%</f>
        <v>2485</v>
      </c>
      <c r="M469" s="22">
        <v>455</v>
      </c>
      <c r="N469" s="22">
        <v>1064</v>
      </c>
      <c r="O469" s="22">
        <v>2481.5</v>
      </c>
      <c r="P469" s="22">
        <v>0</v>
      </c>
      <c r="Q469" s="21">
        <f>K469+N469</f>
        <v>2068.5</v>
      </c>
      <c r="R469" s="21">
        <f>G469+H469+I469+J469+K469+N469+P469</f>
        <v>2093.5</v>
      </c>
      <c r="S469" s="21">
        <f>L469+M469+O469</f>
        <v>5421.5</v>
      </c>
      <c r="T469" s="21">
        <f>F469-R469</f>
        <v>32906.5</v>
      </c>
      <c r="U469" s="24" t="s">
        <v>30</v>
      </c>
    </row>
    <row r="470" spans="1:21" ht="15.75" customHeight="1">
      <c r="A470" s="23">
        <v>455</v>
      </c>
      <c r="B470" s="23" t="s">
        <v>563</v>
      </c>
      <c r="C470" s="23" t="s">
        <v>88</v>
      </c>
      <c r="D470" s="23" t="s">
        <v>61</v>
      </c>
      <c r="E470" s="24" t="s">
        <v>29</v>
      </c>
      <c r="F470" s="21">
        <v>18000</v>
      </c>
      <c r="G470" s="22">
        <v>0</v>
      </c>
      <c r="H470" s="22">
        <v>25</v>
      </c>
      <c r="I470" s="22">
        <v>0</v>
      </c>
      <c r="J470" s="22">
        <v>0</v>
      </c>
      <c r="K470" s="22">
        <f>F470*2.87%</f>
        <v>516.6</v>
      </c>
      <c r="L470" s="22">
        <f>F470*7.1%</f>
        <v>1277.9999999999998</v>
      </c>
      <c r="M470" s="22">
        <v>234</v>
      </c>
      <c r="N470" s="22">
        <v>547.20000000000005</v>
      </c>
      <c r="O470" s="22">
        <v>1276.2</v>
      </c>
      <c r="P470" s="22">
        <v>0</v>
      </c>
      <c r="Q470" s="21">
        <f>K470+N470</f>
        <v>1063.8000000000002</v>
      </c>
      <c r="R470" s="21">
        <f>G470+H470+I470+J470+K470+N470+P470</f>
        <v>1088.8000000000002</v>
      </c>
      <c r="S470" s="21">
        <f>L470+M470+O470</f>
        <v>2788.2</v>
      </c>
      <c r="T470" s="21">
        <f>F470-R470</f>
        <v>16911.2</v>
      </c>
      <c r="U470" s="24" t="s">
        <v>30</v>
      </c>
    </row>
    <row r="471" spans="1:21" ht="15.75" customHeight="1">
      <c r="A471" s="23">
        <v>456</v>
      </c>
      <c r="B471" s="23" t="s">
        <v>564</v>
      </c>
      <c r="C471" s="23" t="s">
        <v>57</v>
      </c>
      <c r="D471" s="23" t="s">
        <v>58</v>
      </c>
      <c r="E471" s="24" t="s">
        <v>29</v>
      </c>
      <c r="F471" s="21">
        <v>15000</v>
      </c>
      <c r="G471" s="22">
        <v>0</v>
      </c>
      <c r="H471" s="22">
        <v>25</v>
      </c>
      <c r="I471" s="22">
        <v>0</v>
      </c>
      <c r="J471" s="22">
        <v>0</v>
      </c>
      <c r="K471" s="22">
        <f>F471*2.87%</f>
        <v>430.5</v>
      </c>
      <c r="L471" s="22">
        <f>F471*7.1%</f>
        <v>1065</v>
      </c>
      <c r="M471" s="22">
        <v>195</v>
      </c>
      <c r="N471" s="22">
        <v>456</v>
      </c>
      <c r="O471" s="22">
        <v>1063.5</v>
      </c>
      <c r="P471" s="22">
        <v>0</v>
      </c>
      <c r="Q471" s="21">
        <f>K471+N471</f>
        <v>886.5</v>
      </c>
      <c r="R471" s="21">
        <f>G471+H471+I471+J471+K471+N471+P471</f>
        <v>911.5</v>
      </c>
      <c r="S471" s="21">
        <f>L471+M471+O471</f>
        <v>2323.5</v>
      </c>
      <c r="T471" s="21">
        <f>F471-R471</f>
        <v>14088.5</v>
      </c>
      <c r="U471" s="24" t="s">
        <v>30</v>
      </c>
    </row>
    <row r="472" spans="1:21" ht="15.75" customHeight="1">
      <c r="A472" s="19">
        <v>457</v>
      </c>
      <c r="B472" s="23" t="s">
        <v>565</v>
      </c>
      <c r="C472" s="23" t="s">
        <v>358</v>
      </c>
      <c r="D472" s="23" t="s">
        <v>78</v>
      </c>
      <c r="E472" s="24" t="s">
        <v>29</v>
      </c>
      <c r="F472" s="21">
        <v>10000</v>
      </c>
      <c r="G472" s="22">
        <v>0</v>
      </c>
      <c r="H472" s="22">
        <v>25</v>
      </c>
      <c r="I472" s="22">
        <v>0</v>
      </c>
      <c r="J472" s="22">
        <v>0</v>
      </c>
      <c r="K472" s="22">
        <f>F472*2.87%</f>
        <v>287</v>
      </c>
      <c r="L472" s="22">
        <f>F472*7.1%</f>
        <v>709.99999999999989</v>
      </c>
      <c r="M472" s="22">
        <v>130</v>
      </c>
      <c r="N472" s="22">
        <v>304</v>
      </c>
      <c r="O472" s="22">
        <v>709</v>
      </c>
      <c r="P472" s="22">
        <v>0</v>
      </c>
      <c r="Q472" s="21">
        <f>K472+N472</f>
        <v>591</v>
      </c>
      <c r="R472" s="21">
        <f>G472+H472+I472+J472+K472+N472+P472</f>
        <v>616</v>
      </c>
      <c r="S472" s="21">
        <f>L472+M472+O472</f>
        <v>1549</v>
      </c>
      <c r="T472" s="21">
        <f>F472-R472</f>
        <v>9384</v>
      </c>
      <c r="U472" s="24" t="s">
        <v>30</v>
      </c>
    </row>
    <row r="473" spans="1:21" ht="15.75" customHeight="1">
      <c r="A473" s="23">
        <v>458</v>
      </c>
      <c r="B473" s="23" t="s">
        <v>566</v>
      </c>
      <c r="C473" s="23" t="s">
        <v>77</v>
      </c>
      <c r="D473" s="23" t="s">
        <v>61</v>
      </c>
      <c r="E473" s="24" t="s">
        <v>29</v>
      </c>
      <c r="F473" s="21">
        <v>15000</v>
      </c>
      <c r="G473" s="22">
        <v>0</v>
      </c>
      <c r="H473" s="22">
        <v>25</v>
      </c>
      <c r="I473" s="22">
        <v>0</v>
      </c>
      <c r="J473" s="22">
        <v>0</v>
      </c>
      <c r="K473" s="22">
        <f>F473*2.87%</f>
        <v>430.5</v>
      </c>
      <c r="L473" s="22">
        <f>F473*7.1%</f>
        <v>1065</v>
      </c>
      <c r="M473" s="22">
        <v>195</v>
      </c>
      <c r="N473" s="22">
        <v>456</v>
      </c>
      <c r="O473" s="22">
        <v>1063.5</v>
      </c>
      <c r="P473" s="22">
        <v>0</v>
      </c>
      <c r="Q473" s="21">
        <f>K473+N473</f>
        <v>886.5</v>
      </c>
      <c r="R473" s="21">
        <f>G473+H473+I473+J473+K473+N473+P473</f>
        <v>911.5</v>
      </c>
      <c r="S473" s="21">
        <f>L473+M473+O473</f>
        <v>2323.5</v>
      </c>
      <c r="T473" s="21">
        <f>F473-R473</f>
        <v>14088.5</v>
      </c>
      <c r="U473" s="24" t="s">
        <v>30</v>
      </c>
    </row>
    <row r="474" spans="1:21" ht="15.75" customHeight="1">
      <c r="A474" s="23">
        <v>459</v>
      </c>
      <c r="B474" s="23" t="s">
        <v>567</v>
      </c>
      <c r="C474" s="23" t="s">
        <v>66</v>
      </c>
      <c r="D474" s="23" t="s">
        <v>61</v>
      </c>
      <c r="E474" s="24" t="s">
        <v>29</v>
      </c>
      <c r="F474" s="21">
        <v>25000</v>
      </c>
      <c r="G474" s="22">
        <v>0</v>
      </c>
      <c r="H474" s="22">
        <v>25</v>
      </c>
      <c r="I474" s="22">
        <v>0</v>
      </c>
      <c r="J474" s="22">
        <v>0</v>
      </c>
      <c r="K474" s="22">
        <f>F474*2.87%</f>
        <v>717.5</v>
      </c>
      <c r="L474" s="22">
        <f>F474*7.1%</f>
        <v>1774.9999999999998</v>
      </c>
      <c r="M474" s="22">
        <v>325</v>
      </c>
      <c r="N474" s="22">
        <v>760</v>
      </c>
      <c r="O474" s="22">
        <v>1772.5000000000002</v>
      </c>
      <c r="P474" s="22">
        <v>0</v>
      </c>
      <c r="Q474" s="21">
        <f>K474+N474</f>
        <v>1477.5</v>
      </c>
      <c r="R474" s="21">
        <f>G474+H474+I474+J474+K474+N474+P474</f>
        <v>1502.5</v>
      </c>
      <c r="S474" s="21">
        <f>L474+M474+O474</f>
        <v>3872.5</v>
      </c>
      <c r="T474" s="21">
        <f>F474-R474</f>
        <v>23497.5</v>
      </c>
      <c r="U474" s="24" t="s">
        <v>30</v>
      </c>
    </row>
    <row r="475" spans="1:21" ht="15.75" customHeight="1">
      <c r="A475" s="19">
        <v>460</v>
      </c>
      <c r="B475" s="23" t="s">
        <v>568</v>
      </c>
      <c r="C475" s="23" t="s">
        <v>88</v>
      </c>
      <c r="D475" s="23" t="s">
        <v>470</v>
      </c>
      <c r="E475" s="24" t="s">
        <v>29</v>
      </c>
      <c r="F475" s="21">
        <v>10000</v>
      </c>
      <c r="G475" s="22">
        <v>0</v>
      </c>
      <c r="H475" s="22">
        <v>25</v>
      </c>
      <c r="I475" s="22">
        <v>0</v>
      </c>
      <c r="J475" s="22">
        <v>0</v>
      </c>
      <c r="K475" s="22">
        <f>F475*2.87%</f>
        <v>287</v>
      </c>
      <c r="L475" s="22">
        <f>F475*7.1%</f>
        <v>709.99999999999989</v>
      </c>
      <c r="M475" s="22">
        <v>130</v>
      </c>
      <c r="N475" s="22">
        <v>304</v>
      </c>
      <c r="O475" s="22">
        <v>709</v>
      </c>
      <c r="P475" s="22">
        <v>0</v>
      </c>
      <c r="Q475" s="21">
        <f>K475+N475</f>
        <v>591</v>
      </c>
      <c r="R475" s="21">
        <f>G475+H475+I475+J475+K475+N475+P475</f>
        <v>616</v>
      </c>
      <c r="S475" s="21">
        <f>L475+M475+O475</f>
        <v>1549</v>
      </c>
      <c r="T475" s="21">
        <f>F475-R475</f>
        <v>9384</v>
      </c>
      <c r="U475" s="24" t="s">
        <v>30</v>
      </c>
    </row>
    <row r="476" spans="1:21" ht="15.75" customHeight="1">
      <c r="A476" s="23">
        <v>461</v>
      </c>
      <c r="B476" s="23" t="s">
        <v>569</v>
      </c>
      <c r="C476" s="23" t="s">
        <v>570</v>
      </c>
      <c r="D476" s="23" t="s">
        <v>571</v>
      </c>
      <c r="E476" s="24" t="s">
        <v>29</v>
      </c>
      <c r="F476" s="21">
        <v>60000</v>
      </c>
      <c r="G476" s="22">
        <v>3486.68</v>
      </c>
      <c r="H476" s="22">
        <v>25</v>
      </c>
      <c r="I476" s="22">
        <v>0</v>
      </c>
      <c r="J476" s="22">
        <v>0</v>
      </c>
      <c r="K476" s="22">
        <f>F476*2.87%</f>
        <v>1722</v>
      </c>
      <c r="L476" s="22">
        <f>F476*7.1%</f>
        <v>4260</v>
      </c>
      <c r="M476" s="22">
        <v>780</v>
      </c>
      <c r="N476" s="22">
        <v>1824</v>
      </c>
      <c r="O476" s="22">
        <v>4254</v>
      </c>
      <c r="P476" s="22">
        <v>0</v>
      </c>
      <c r="Q476" s="21">
        <f>K476+N476</f>
        <v>3546</v>
      </c>
      <c r="R476" s="21">
        <f>G476+H476+I476+J476+K476+N476+P476</f>
        <v>7057.68</v>
      </c>
      <c r="S476" s="21">
        <f>L476+M476+O476</f>
        <v>9294</v>
      </c>
      <c r="T476" s="21">
        <f>F476-R476</f>
        <v>52942.32</v>
      </c>
      <c r="U476" s="24" t="s">
        <v>30</v>
      </c>
    </row>
    <row r="477" spans="1:21" ht="15.75" customHeight="1">
      <c r="A477" s="23">
        <v>462</v>
      </c>
      <c r="B477" s="23" t="s">
        <v>572</v>
      </c>
      <c r="C477" s="23" t="s">
        <v>63</v>
      </c>
      <c r="D477" s="23" t="s">
        <v>98</v>
      </c>
      <c r="E477" s="24" t="s">
        <v>29</v>
      </c>
      <c r="F477" s="21">
        <v>15000</v>
      </c>
      <c r="G477" s="22">
        <v>0</v>
      </c>
      <c r="H477" s="22">
        <v>25</v>
      </c>
      <c r="I477" s="22">
        <v>0</v>
      </c>
      <c r="J477" s="22">
        <f>500+500</f>
        <v>1000</v>
      </c>
      <c r="K477" s="22">
        <f>F477*2.87%</f>
        <v>430.5</v>
      </c>
      <c r="L477" s="22">
        <f>F477*7.1%</f>
        <v>1065</v>
      </c>
      <c r="M477" s="22">
        <v>195</v>
      </c>
      <c r="N477" s="22">
        <v>456</v>
      </c>
      <c r="O477" s="22">
        <v>1063.5</v>
      </c>
      <c r="P477" s="22">
        <v>0</v>
      </c>
      <c r="Q477" s="21">
        <f>K477+N477</f>
        <v>886.5</v>
      </c>
      <c r="R477" s="21">
        <f>G477+H477+I477+J477+K477+N477+P477</f>
        <v>1911.5</v>
      </c>
      <c r="S477" s="21">
        <f>L477+M477+O477</f>
        <v>2323.5</v>
      </c>
      <c r="T477" s="21">
        <f>F477-R477</f>
        <v>13088.5</v>
      </c>
      <c r="U477" s="24" t="s">
        <v>30</v>
      </c>
    </row>
    <row r="478" spans="1:21" ht="15.75" customHeight="1">
      <c r="A478" s="19">
        <v>463</v>
      </c>
      <c r="B478" s="23" t="s">
        <v>573</v>
      </c>
      <c r="C478" s="23" t="s">
        <v>88</v>
      </c>
      <c r="D478" s="23" t="s">
        <v>61</v>
      </c>
      <c r="E478" s="24" t="s">
        <v>29</v>
      </c>
      <c r="F478" s="21">
        <v>10000</v>
      </c>
      <c r="G478" s="22">
        <v>0</v>
      </c>
      <c r="H478" s="22">
        <v>125</v>
      </c>
      <c r="I478" s="22">
        <v>0</v>
      </c>
      <c r="J478" s="22">
        <v>0</v>
      </c>
      <c r="K478" s="22">
        <f>F478*2.87%</f>
        <v>287</v>
      </c>
      <c r="L478" s="22">
        <f>F478*7.1%</f>
        <v>709.99999999999989</v>
      </c>
      <c r="M478" s="22">
        <v>130</v>
      </c>
      <c r="N478" s="22">
        <v>304</v>
      </c>
      <c r="O478" s="22">
        <v>709</v>
      </c>
      <c r="P478" s="22">
        <v>0</v>
      </c>
      <c r="Q478" s="21">
        <f>K478+N478</f>
        <v>591</v>
      </c>
      <c r="R478" s="21">
        <f>G478+H478+I478+J478+K478+N478+P478</f>
        <v>716</v>
      </c>
      <c r="S478" s="21">
        <f>L478+M478+O478</f>
        <v>1549</v>
      </c>
      <c r="T478" s="21">
        <f>F478-R478</f>
        <v>9284</v>
      </c>
      <c r="U478" s="24" t="s">
        <v>30</v>
      </c>
    </row>
    <row r="479" spans="1:21" ht="15.75" customHeight="1">
      <c r="A479" s="23">
        <v>464</v>
      </c>
      <c r="B479" s="23" t="s">
        <v>574</v>
      </c>
      <c r="C479" s="23" t="s">
        <v>201</v>
      </c>
      <c r="D479" s="23" t="s">
        <v>72</v>
      </c>
      <c r="E479" s="24" t="s">
        <v>29</v>
      </c>
      <c r="F479" s="21">
        <v>20000</v>
      </c>
      <c r="G479" s="22">
        <v>0</v>
      </c>
      <c r="H479" s="22">
        <v>25</v>
      </c>
      <c r="I479" s="22">
        <v>0</v>
      </c>
      <c r="J479" s="22">
        <v>0</v>
      </c>
      <c r="K479" s="22">
        <f>F479*2.87%</f>
        <v>574</v>
      </c>
      <c r="L479" s="22">
        <f>F479*7.1%</f>
        <v>1419.9999999999998</v>
      </c>
      <c r="M479" s="22">
        <v>260</v>
      </c>
      <c r="N479" s="22">
        <v>608</v>
      </c>
      <c r="O479" s="22">
        <v>1418</v>
      </c>
      <c r="P479" s="22">
        <v>0</v>
      </c>
      <c r="Q479" s="21">
        <f>K479+N479</f>
        <v>1182</v>
      </c>
      <c r="R479" s="21">
        <f>G479+H479+I479+J479+K479+N479+P479</f>
        <v>1207</v>
      </c>
      <c r="S479" s="21">
        <f>L479+M479+O479</f>
        <v>3098</v>
      </c>
      <c r="T479" s="21">
        <f>F479-R479</f>
        <v>18793</v>
      </c>
      <c r="U479" s="24" t="s">
        <v>30</v>
      </c>
    </row>
    <row r="480" spans="1:21" ht="15.75" customHeight="1">
      <c r="A480" s="23">
        <v>465</v>
      </c>
      <c r="B480" s="23" t="s">
        <v>575</v>
      </c>
      <c r="C480" s="23" t="s">
        <v>71</v>
      </c>
      <c r="D480" s="23" t="s">
        <v>72</v>
      </c>
      <c r="E480" s="24" t="s">
        <v>29</v>
      </c>
      <c r="F480" s="21">
        <v>15000</v>
      </c>
      <c r="G480" s="22">
        <v>0</v>
      </c>
      <c r="H480" s="22">
        <v>25</v>
      </c>
      <c r="I480" s="22">
        <v>0</v>
      </c>
      <c r="J480" s="22">
        <f>1000+300+1071.71</f>
        <v>2371.71</v>
      </c>
      <c r="K480" s="22">
        <f>F480*2.87%</f>
        <v>430.5</v>
      </c>
      <c r="L480" s="22">
        <f>F480*7.1%</f>
        <v>1065</v>
      </c>
      <c r="M480" s="22">
        <v>195</v>
      </c>
      <c r="N480" s="22">
        <v>456</v>
      </c>
      <c r="O480" s="22">
        <v>1063.5</v>
      </c>
      <c r="P480" s="22">
        <v>0</v>
      </c>
      <c r="Q480" s="21">
        <f>K480+N480</f>
        <v>886.5</v>
      </c>
      <c r="R480" s="21">
        <f>G480+H480+I480+J480+K480+N480+P480</f>
        <v>3283.21</v>
      </c>
      <c r="S480" s="21">
        <f>L480+M480+O480</f>
        <v>2323.5</v>
      </c>
      <c r="T480" s="21">
        <f>F480-R480</f>
        <v>11716.79</v>
      </c>
      <c r="U480" s="24" t="s">
        <v>36</v>
      </c>
    </row>
    <row r="481" spans="1:21" ht="15.75" customHeight="1">
      <c r="A481" s="19">
        <v>466</v>
      </c>
      <c r="B481" s="23" t="s">
        <v>576</v>
      </c>
      <c r="C481" s="23" t="s">
        <v>326</v>
      </c>
      <c r="D481" s="23" t="s">
        <v>78</v>
      </c>
      <c r="E481" s="24" t="s">
        <v>29</v>
      </c>
      <c r="F481" s="21">
        <v>25000</v>
      </c>
      <c r="G481" s="22">
        <v>0</v>
      </c>
      <c r="H481" s="22">
        <v>25</v>
      </c>
      <c r="I481" s="22">
        <v>0</v>
      </c>
      <c r="J481" s="22">
        <f>1000+2144.43</f>
        <v>3144.43</v>
      </c>
      <c r="K481" s="22">
        <f>F481*2.87%</f>
        <v>717.5</v>
      </c>
      <c r="L481" s="22">
        <f>F481*7.1%</f>
        <v>1774.9999999999998</v>
      </c>
      <c r="M481" s="22">
        <v>325</v>
      </c>
      <c r="N481" s="22">
        <v>760</v>
      </c>
      <c r="O481" s="22">
        <v>1772.5000000000002</v>
      </c>
      <c r="P481" s="22">
        <v>0</v>
      </c>
      <c r="Q481" s="21">
        <f>K481+N481</f>
        <v>1477.5</v>
      </c>
      <c r="R481" s="21">
        <f>G481+H481+I481+J481+K481+N481+P481</f>
        <v>4646.93</v>
      </c>
      <c r="S481" s="21">
        <f>L481+M481+O481</f>
        <v>3872.5</v>
      </c>
      <c r="T481" s="21">
        <f>F481-R481</f>
        <v>20353.07</v>
      </c>
      <c r="U481" s="24" t="s">
        <v>36</v>
      </c>
    </row>
    <row r="482" spans="1:21" ht="15.75" customHeight="1">
      <c r="A482" s="23">
        <v>467</v>
      </c>
      <c r="B482" s="23" t="s">
        <v>577</v>
      </c>
      <c r="C482" s="23" t="s">
        <v>68</v>
      </c>
      <c r="D482" s="23" t="s">
        <v>86</v>
      </c>
      <c r="E482" s="24" t="s">
        <v>29</v>
      </c>
      <c r="F482" s="21">
        <v>25000</v>
      </c>
      <c r="G482" s="22">
        <v>0</v>
      </c>
      <c r="H482" s="22">
        <v>25</v>
      </c>
      <c r="I482" s="22">
        <v>0</v>
      </c>
      <c r="J482" s="22">
        <v>0</v>
      </c>
      <c r="K482" s="22">
        <f>F482*2.87%</f>
        <v>717.5</v>
      </c>
      <c r="L482" s="22">
        <f>F482*7.1%</f>
        <v>1774.9999999999998</v>
      </c>
      <c r="M482" s="22">
        <v>325</v>
      </c>
      <c r="N482" s="22">
        <v>760</v>
      </c>
      <c r="O482" s="22">
        <v>1772.5000000000002</v>
      </c>
      <c r="P482" s="22">
        <v>1587.38</v>
      </c>
      <c r="Q482" s="21">
        <f>K482+N482</f>
        <v>1477.5</v>
      </c>
      <c r="R482" s="21">
        <f>G482+H482+I482+J482+K482+N482+P482</f>
        <v>3089.88</v>
      </c>
      <c r="S482" s="21">
        <f>L482+M482+O482</f>
        <v>3872.5</v>
      </c>
      <c r="T482" s="21">
        <f>F482-R482</f>
        <v>21910.12</v>
      </c>
      <c r="U482" s="24" t="s">
        <v>36</v>
      </c>
    </row>
    <row r="483" spans="1:21" ht="15.75" customHeight="1">
      <c r="A483" s="23">
        <v>468</v>
      </c>
      <c r="B483" s="23" t="s">
        <v>578</v>
      </c>
      <c r="C483" s="23" t="s">
        <v>60</v>
      </c>
      <c r="D483" s="23" t="s">
        <v>61</v>
      </c>
      <c r="E483" s="24" t="s">
        <v>29</v>
      </c>
      <c r="F483" s="21">
        <v>22000</v>
      </c>
      <c r="G483" s="22">
        <v>0</v>
      </c>
      <c r="H483" s="22">
        <v>25</v>
      </c>
      <c r="I483" s="22">
        <v>0</v>
      </c>
      <c r="J483" s="22">
        <v>0</v>
      </c>
      <c r="K483" s="22">
        <f>F483*2.87%</f>
        <v>631.4</v>
      </c>
      <c r="L483" s="22">
        <f>F483*7.1%</f>
        <v>1561.9999999999998</v>
      </c>
      <c r="M483" s="22">
        <v>286</v>
      </c>
      <c r="N483" s="22">
        <v>668.8</v>
      </c>
      <c r="O483" s="22">
        <v>1559.8000000000002</v>
      </c>
      <c r="P483" s="21">
        <v>0</v>
      </c>
      <c r="Q483" s="21">
        <f>K483+N483</f>
        <v>1300.1999999999998</v>
      </c>
      <c r="R483" s="21">
        <f>G483+H483+I483+J483+K483+N483+P483</f>
        <v>1325.1999999999998</v>
      </c>
      <c r="S483" s="21">
        <f>L483+M483+O483</f>
        <v>3407.8</v>
      </c>
      <c r="T483" s="21">
        <f>F483-R483</f>
        <v>20674.8</v>
      </c>
      <c r="U483" s="24" t="s">
        <v>30</v>
      </c>
    </row>
    <row r="484" spans="1:21" ht="15.75" customHeight="1">
      <c r="A484" s="19">
        <v>469</v>
      </c>
      <c r="B484" s="23" t="s">
        <v>579</v>
      </c>
      <c r="C484" s="23" t="s">
        <v>358</v>
      </c>
      <c r="D484" s="23" t="s">
        <v>78</v>
      </c>
      <c r="E484" s="24" t="s">
        <v>29</v>
      </c>
      <c r="F484" s="21">
        <v>26000</v>
      </c>
      <c r="G484" s="22">
        <v>0</v>
      </c>
      <c r="H484" s="22">
        <v>25</v>
      </c>
      <c r="I484" s="22">
        <v>0</v>
      </c>
      <c r="J484" s="22">
        <v>0</v>
      </c>
      <c r="K484" s="22">
        <f>F484*2.87%</f>
        <v>746.2</v>
      </c>
      <c r="L484" s="22">
        <f>F484*7.1%</f>
        <v>1845.9999999999998</v>
      </c>
      <c r="M484" s="22">
        <v>338</v>
      </c>
      <c r="N484" s="22">
        <v>790.4</v>
      </c>
      <c r="O484" s="22">
        <v>1843.4</v>
      </c>
      <c r="P484" s="22">
        <v>0</v>
      </c>
      <c r="Q484" s="21">
        <f>K484+N484</f>
        <v>1536.6</v>
      </c>
      <c r="R484" s="21">
        <f>G484+H484+I484+J484+K484+N484+P484</f>
        <v>1561.6</v>
      </c>
      <c r="S484" s="21">
        <f>L484+M484+O484</f>
        <v>4027.4</v>
      </c>
      <c r="T484" s="21">
        <f>F484-R484</f>
        <v>24438.400000000001</v>
      </c>
      <c r="U484" s="24" t="s">
        <v>30</v>
      </c>
    </row>
    <row r="485" spans="1:21" ht="15.75" customHeight="1">
      <c r="A485" s="23">
        <v>470</v>
      </c>
      <c r="B485" s="23" t="s">
        <v>580</v>
      </c>
      <c r="C485" s="23" t="s">
        <v>66</v>
      </c>
      <c r="D485" s="23" t="s">
        <v>61</v>
      </c>
      <c r="E485" s="24" t="s">
        <v>29</v>
      </c>
      <c r="F485" s="21">
        <v>30000</v>
      </c>
      <c r="G485" s="22">
        <v>0</v>
      </c>
      <c r="H485" s="22">
        <v>25</v>
      </c>
      <c r="I485" s="22">
        <v>0</v>
      </c>
      <c r="J485" s="22">
        <v>0</v>
      </c>
      <c r="K485" s="22">
        <f>F485*2.87%</f>
        <v>861</v>
      </c>
      <c r="L485" s="22">
        <f>F485*7.1%</f>
        <v>2130</v>
      </c>
      <c r="M485" s="22">
        <v>390</v>
      </c>
      <c r="N485" s="22">
        <v>912</v>
      </c>
      <c r="O485" s="22">
        <v>2127</v>
      </c>
      <c r="P485" s="22">
        <v>0</v>
      </c>
      <c r="Q485" s="21">
        <f>K485+N485</f>
        <v>1773</v>
      </c>
      <c r="R485" s="21">
        <f>G485+H485+I485+J485+K485+N485+P485</f>
        <v>1798</v>
      </c>
      <c r="S485" s="21">
        <f>L485+M485+O485</f>
        <v>4647</v>
      </c>
      <c r="T485" s="21">
        <f>F485-R485</f>
        <v>28202</v>
      </c>
      <c r="U485" s="24" t="s">
        <v>30</v>
      </c>
    </row>
    <row r="486" spans="1:21" ht="15.75" customHeight="1">
      <c r="A486" s="23">
        <v>471</v>
      </c>
      <c r="B486" s="23" t="s">
        <v>581</v>
      </c>
      <c r="C486" s="23" t="s">
        <v>71</v>
      </c>
      <c r="D486" s="23" t="s">
        <v>72</v>
      </c>
      <c r="E486" s="24" t="s">
        <v>29</v>
      </c>
      <c r="F486" s="21">
        <v>10000</v>
      </c>
      <c r="G486" s="22">
        <v>0</v>
      </c>
      <c r="H486" s="22">
        <v>25</v>
      </c>
      <c r="I486" s="22">
        <v>0</v>
      </c>
      <c r="J486" s="22">
        <v>0</v>
      </c>
      <c r="K486" s="22">
        <f>F486*2.87%</f>
        <v>287</v>
      </c>
      <c r="L486" s="22">
        <f>F486*7.1%</f>
        <v>709.99999999999989</v>
      </c>
      <c r="M486" s="22">
        <v>130</v>
      </c>
      <c r="N486" s="22">
        <v>304</v>
      </c>
      <c r="O486" s="22">
        <v>709</v>
      </c>
      <c r="P486" s="22">
        <v>0</v>
      </c>
      <c r="Q486" s="21">
        <f>K486+N486</f>
        <v>591</v>
      </c>
      <c r="R486" s="21">
        <f>G486+H486+I486+J486+K486+N486+P486</f>
        <v>616</v>
      </c>
      <c r="S486" s="21">
        <f>L486+M486+O486</f>
        <v>1549</v>
      </c>
      <c r="T486" s="21">
        <f>F486-R486</f>
        <v>9384</v>
      </c>
      <c r="U486" s="24" t="s">
        <v>36</v>
      </c>
    </row>
    <row r="487" spans="1:21" ht="15.75" customHeight="1">
      <c r="A487" s="19">
        <v>472</v>
      </c>
      <c r="B487" s="23" t="s">
        <v>582</v>
      </c>
      <c r="C487" s="23" t="s">
        <v>154</v>
      </c>
      <c r="D487" s="23" t="s">
        <v>55</v>
      </c>
      <c r="E487" s="24" t="s">
        <v>29</v>
      </c>
      <c r="F487" s="21">
        <v>25000</v>
      </c>
      <c r="G487" s="22">
        <v>0</v>
      </c>
      <c r="H487" s="22">
        <v>25</v>
      </c>
      <c r="I487" s="22">
        <v>0</v>
      </c>
      <c r="J487" s="22">
        <v>0</v>
      </c>
      <c r="K487" s="22">
        <f>F487*2.87%</f>
        <v>717.5</v>
      </c>
      <c r="L487" s="22">
        <f>F487*7.1%</f>
        <v>1774.9999999999998</v>
      </c>
      <c r="M487" s="22">
        <v>325</v>
      </c>
      <c r="N487" s="22">
        <v>760</v>
      </c>
      <c r="O487" s="22">
        <v>1772.5000000000002</v>
      </c>
      <c r="P487" s="22">
        <v>0</v>
      </c>
      <c r="Q487" s="21">
        <f>K487+N487</f>
        <v>1477.5</v>
      </c>
      <c r="R487" s="21">
        <f>G487+H487+I487+J487+K487+N487+P487</f>
        <v>1502.5</v>
      </c>
      <c r="S487" s="21">
        <f>L487+M487+O487</f>
        <v>3872.5</v>
      </c>
      <c r="T487" s="21">
        <f>F487-R487</f>
        <v>23497.5</v>
      </c>
      <c r="U487" s="24" t="s">
        <v>36</v>
      </c>
    </row>
    <row r="488" spans="1:21" ht="15.75" customHeight="1">
      <c r="A488" s="23">
        <v>473</v>
      </c>
      <c r="B488" s="23" t="s">
        <v>583</v>
      </c>
      <c r="C488" s="23" t="s">
        <v>77</v>
      </c>
      <c r="D488" s="23" t="s">
        <v>414</v>
      </c>
      <c r="E488" s="24" t="s">
        <v>29</v>
      </c>
      <c r="F488" s="21">
        <v>12000</v>
      </c>
      <c r="G488" s="22">
        <v>0</v>
      </c>
      <c r="H488" s="22">
        <v>25</v>
      </c>
      <c r="I488" s="22">
        <v>0</v>
      </c>
      <c r="J488" s="22">
        <v>0</v>
      </c>
      <c r="K488" s="22">
        <f>F488*2.87%</f>
        <v>344.4</v>
      </c>
      <c r="L488" s="22">
        <f>F488*7.1%</f>
        <v>851.99999999999989</v>
      </c>
      <c r="M488" s="22">
        <v>156</v>
      </c>
      <c r="N488" s="22">
        <v>364.8</v>
      </c>
      <c r="O488" s="22">
        <v>850.80000000000007</v>
      </c>
      <c r="P488" s="22">
        <v>0</v>
      </c>
      <c r="Q488" s="21">
        <f>K488+N488</f>
        <v>709.2</v>
      </c>
      <c r="R488" s="21">
        <f>G488+H488+I488+J488+K488+N488+P488</f>
        <v>734.2</v>
      </c>
      <c r="S488" s="21">
        <f>L488+M488+O488</f>
        <v>1858.8</v>
      </c>
      <c r="T488" s="21">
        <f>F488-R488</f>
        <v>11265.8</v>
      </c>
      <c r="U488" s="24" t="s">
        <v>30</v>
      </c>
    </row>
    <row r="489" spans="1:21" ht="15.75" customHeight="1">
      <c r="A489" s="23">
        <v>474</v>
      </c>
      <c r="B489" s="23" t="s">
        <v>584</v>
      </c>
      <c r="C489" s="23" t="s">
        <v>88</v>
      </c>
      <c r="D489" s="23" t="s">
        <v>557</v>
      </c>
      <c r="E489" s="24" t="s">
        <v>29</v>
      </c>
      <c r="F489" s="21">
        <v>10000</v>
      </c>
      <c r="G489" s="22">
        <v>0</v>
      </c>
      <c r="H489" s="22">
        <v>25</v>
      </c>
      <c r="I489" s="22">
        <v>0</v>
      </c>
      <c r="J489" s="22">
        <v>0</v>
      </c>
      <c r="K489" s="22">
        <f>F489*2.87%</f>
        <v>287</v>
      </c>
      <c r="L489" s="22">
        <f>F489*7.1%</f>
        <v>709.99999999999989</v>
      </c>
      <c r="M489" s="22">
        <v>130</v>
      </c>
      <c r="N489" s="22">
        <v>304</v>
      </c>
      <c r="O489" s="22">
        <v>709</v>
      </c>
      <c r="P489" s="22">
        <v>0</v>
      </c>
      <c r="Q489" s="21">
        <f>K489+N489</f>
        <v>591</v>
      </c>
      <c r="R489" s="21">
        <f>G489+H489+I489+J489+K489+N489+P489</f>
        <v>616</v>
      </c>
      <c r="S489" s="21">
        <f>L489+M489+O489</f>
        <v>1549</v>
      </c>
      <c r="T489" s="21">
        <f>F489-R489</f>
        <v>9384</v>
      </c>
      <c r="U489" s="24" t="s">
        <v>30</v>
      </c>
    </row>
    <row r="490" spans="1:21" ht="15.75" customHeight="1">
      <c r="A490" s="19">
        <v>475</v>
      </c>
      <c r="B490" s="23" t="s">
        <v>585</v>
      </c>
      <c r="C490" s="23" t="s">
        <v>358</v>
      </c>
      <c r="D490" s="23" t="s">
        <v>78</v>
      </c>
      <c r="E490" s="24" t="s">
        <v>29</v>
      </c>
      <c r="F490" s="21">
        <v>10000</v>
      </c>
      <c r="G490" s="22">
        <v>0</v>
      </c>
      <c r="H490" s="22">
        <v>25</v>
      </c>
      <c r="I490" s="22">
        <v>0</v>
      </c>
      <c r="J490" s="22">
        <v>0</v>
      </c>
      <c r="K490" s="22">
        <f>F490*2.87%</f>
        <v>287</v>
      </c>
      <c r="L490" s="22">
        <f>F490*7.1%</f>
        <v>709.99999999999989</v>
      </c>
      <c r="M490" s="22">
        <v>130</v>
      </c>
      <c r="N490" s="22">
        <v>304</v>
      </c>
      <c r="O490" s="22">
        <v>709</v>
      </c>
      <c r="P490" s="22">
        <v>0</v>
      </c>
      <c r="Q490" s="21">
        <f>K490+N490</f>
        <v>591</v>
      </c>
      <c r="R490" s="21">
        <f>G490+H490+I490+J490+K490+N490+P490</f>
        <v>616</v>
      </c>
      <c r="S490" s="21">
        <f>L490+M490+O490</f>
        <v>1549</v>
      </c>
      <c r="T490" s="21">
        <f>F490-R490</f>
        <v>9384</v>
      </c>
      <c r="U490" s="24" t="s">
        <v>30</v>
      </c>
    </row>
    <row r="491" spans="1:21" ht="15.75" customHeight="1">
      <c r="A491" s="23">
        <v>476</v>
      </c>
      <c r="B491" s="23" t="s">
        <v>586</v>
      </c>
      <c r="C491" s="23" t="s">
        <v>201</v>
      </c>
      <c r="D491" s="23" t="s">
        <v>58</v>
      </c>
      <c r="E491" s="24" t="s">
        <v>29</v>
      </c>
      <c r="F491" s="21">
        <v>20000</v>
      </c>
      <c r="G491" s="22">
        <v>0</v>
      </c>
      <c r="H491" s="22">
        <v>25</v>
      </c>
      <c r="I491" s="22">
        <v>0</v>
      </c>
      <c r="J491" s="22">
        <v>0</v>
      </c>
      <c r="K491" s="22">
        <f>F491*2.87%</f>
        <v>574</v>
      </c>
      <c r="L491" s="22">
        <f>F491*7.1%</f>
        <v>1419.9999999999998</v>
      </c>
      <c r="M491" s="22">
        <v>260</v>
      </c>
      <c r="N491" s="22">
        <v>608</v>
      </c>
      <c r="O491" s="22">
        <v>1418</v>
      </c>
      <c r="P491" s="22">
        <v>0</v>
      </c>
      <c r="Q491" s="21">
        <f>K491+N491</f>
        <v>1182</v>
      </c>
      <c r="R491" s="21">
        <f>G491+H491+I491+J491+K491+N491+P491</f>
        <v>1207</v>
      </c>
      <c r="S491" s="21">
        <f>L491+M491+O491</f>
        <v>3098</v>
      </c>
      <c r="T491" s="21">
        <f>F491-R491</f>
        <v>18793</v>
      </c>
      <c r="U491" s="24" t="s">
        <v>30</v>
      </c>
    </row>
    <row r="492" spans="1:21" ht="15.75" customHeight="1">
      <c r="A492" s="23">
        <v>477</v>
      </c>
      <c r="B492" s="23" t="s">
        <v>587</v>
      </c>
      <c r="C492" s="23" t="s">
        <v>66</v>
      </c>
      <c r="D492" s="23" t="s">
        <v>72</v>
      </c>
      <c r="E492" s="24" t="s">
        <v>29</v>
      </c>
      <c r="F492" s="21">
        <v>20000</v>
      </c>
      <c r="G492" s="22">
        <v>0</v>
      </c>
      <c r="H492" s="22">
        <v>25</v>
      </c>
      <c r="I492" s="22">
        <v>0</v>
      </c>
      <c r="J492" s="22">
        <f>1000+300</f>
        <v>1300</v>
      </c>
      <c r="K492" s="22">
        <f>F492*2.87%</f>
        <v>574</v>
      </c>
      <c r="L492" s="22">
        <f>F492*7.1%</f>
        <v>1419.9999999999998</v>
      </c>
      <c r="M492" s="22">
        <v>260</v>
      </c>
      <c r="N492" s="22">
        <v>608</v>
      </c>
      <c r="O492" s="22">
        <v>1418</v>
      </c>
      <c r="P492" s="22">
        <v>2510</v>
      </c>
      <c r="Q492" s="21">
        <f>K492+N492</f>
        <v>1182</v>
      </c>
      <c r="R492" s="21">
        <f>G492+H492+I492+J492+K492+N492+P492</f>
        <v>5017</v>
      </c>
      <c r="S492" s="21">
        <f>L492+M492+O492</f>
        <v>3098</v>
      </c>
      <c r="T492" s="21">
        <f>F492-R492</f>
        <v>14983</v>
      </c>
      <c r="U492" s="24" t="s">
        <v>30</v>
      </c>
    </row>
    <row r="493" spans="1:21" ht="15.75" customHeight="1">
      <c r="A493" s="19">
        <v>478</v>
      </c>
      <c r="B493" s="23" t="s">
        <v>588</v>
      </c>
      <c r="C493" s="23" t="s">
        <v>287</v>
      </c>
      <c r="D493" s="23" t="s">
        <v>557</v>
      </c>
      <c r="E493" s="24" t="s">
        <v>29</v>
      </c>
      <c r="F493" s="21">
        <v>25000</v>
      </c>
      <c r="G493" s="22">
        <v>0</v>
      </c>
      <c r="H493" s="22">
        <v>25</v>
      </c>
      <c r="I493" s="22">
        <v>0</v>
      </c>
      <c r="J493" s="22">
        <v>0</v>
      </c>
      <c r="K493" s="22">
        <f>F493*2.87%</f>
        <v>717.5</v>
      </c>
      <c r="L493" s="22">
        <f>F493*7.1%</f>
        <v>1774.9999999999998</v>
      </c>
      <c r="M493" s="22">
        <v>325</v>
      </c>
      <c r="N493" s="22">
        <v>760</v>
      </c>
      <c r="O493" s="22">
        <v>1772.5000000000002</v>
      </c>
      <c r="P493" s="22">
        <v>1587.38</v>
      </c>
      <c r="Q493" s="21">
        <f>K493+N493</f>
        <v>1477.5</v>
      </c>
      <c r="R493" s="21">
        <f>G493+H493+I493+J493+K493+N493+P493</f>
        <v>3089.88</v>
      </c>
      <c r="S493" s="21">
        <f>L493+M493+O493</f>
        <v>3872.5</v>
      </c>
      <c r="T493" s="21">
        <f>F493-R493</f>
        <v>21910.12</v>
      </c>
      <c r="U493" s="24" t="s">
        <v>30</v>
      </c>
    </row>
    <row r="494" spans="1:21" ht="15.75" customHeight="1">
      <c r="A494" s="23">
        <v>479</v>
      </c>
      <c r="B494" s="23" t="s">
        <v>589</v>
      </c>
      <c r="C494" s="23" t="s">
        <v>51</v>
      </c>
      <c r="D494" s="23" t="s">
        <v>52</v>
      </c>
      <c r="E494" s="24" t="s">
        <v>29</v>
      </c>
      <c r="F494" s="21">
        <v>14000</v>
      </c>
      <c r="G494" s="22">
        <v>0</v>
      </c>
      <c r="H494" s="22">
        <v>25</v>
      </c>
      <c r="I494" s="22">
        <v>0</v>
      </c>
      <c r="J494" s="22">
        <v>0</v>
      </c>
      <c r="K494" s="22">
        <f>F494*2.87%</f>
        <v>401.8</v>
      </c>
      <c r="L494" s="22">
        <f>F494*7.1%</f>
        <v>993.99999999999989</v>
      </c>
      <c r="M494" s="22">
        <v>182</v>
      </c>
      <c r="N494" s="22">
        <v>425.6</v>
      </c>
      <c r="O494" s="22">
        <v>992.6</v>
      </c>
      <c r="P494" s="22">
        <v>0</v>
      </c>
      <c r="Q494" s="21">
        <f>K494+N494</f>
        <v>827.40000000000009</v>
      </c>
      <c r="R494" s="21">
        <f>G494+H494+I494+J494+K494+N494+P494</f>
        <v>852.40000000000009</v>
      </c>
      <c r="S494" s="21">
        <f>L494+M494+O494</f>
        <v>2168.6</v>
      </c>
      <c r="T494" s="21">
        <f>F494-R494</f>
        <v>13147.6</v>
      </c>
      <c r="U494" s="24" t="s">
        <v>30</v>
      </c>
    </row>
    <row r="495" spans="1:21" ht="15.75" customHeight="1">
      <c r="A495" s="23">
        <v>480</v>
      </c>
      <c r="B495" s="23" t="s">
        <v>590</v>
      </c>
      <c r="C495" s="23" t="s">
        <v>88</v>
      </c>
      <c r="D495" s="23" t="s">
        <v>61</v>
      </c>
      <c r="E495" s="24" t="s">
        <v>29</v>
      </c>
      <c r="F495" s="21">
        <v>15000</v>
      </c>
      <c r="G495" s="22">
        <v>0</v>
      </c>
      <c r="H495" s="22">
        <v>25</v>
      </c>
      <c r="I495" s="22">
        <v>0</v>
      </c>
      <c r="J495" s="22">
        <v>0</v>
      </c>
      <c r="K495" s="22">
        <f>F495*2.87%</f>
        <v>430.5</v>
      </c>
      <c r="L495" s="22">
        <f>F495*7.1%</f>
        <v>1065</v>
      </c>
      <c r="M495" s="22">
        <v>195</v>
      </c>
      <c r="N495" s="22">
        <v>456</v>
      </c>
      <c r="O495" s="22">
        <v>1063.5</v>
      </c>
      <c r="P495" s="22">
        <v>0</v>
      </c>
      <c r="Q495" s="21">
        <f>K495+N495</f>
        <v>886.5</v>
      </c>
      <c r="R495" s="21">
        <f>G495+H495+I495+J495+K495+N495+P495</f>
        <v>911.5</v>
      </c>
      <c r="S495" s="21">
        <f>L495+M495+O495</f>
        <v>2323.5</v>
      </c>
      <c r="T495" s="21">
        <f>F495-R495</f>
        <v>14088.5</v>
      </c>
      <c r="U495" s="24" t="s">
        <v>30</v>
      </c>
    </row>
    <row r="496" spans="1:21" ht="15.75" customHeight="1">
      <c r="A496" s="19">
        <v>481</v>
      </c>
      <c r="B496" s="23" t="s">
        <v>591</v>
      </c>
      <c r="C496" s="23" t="s">
        <v>71</v>
      </c>
      <c r="D496" s="23" t="s">
        <v>98</v>
      </c>
      <c r="E496" s="24" t="s">
        <v>29</v>
      </c>
      <c r="F496" s="21">
        <v>10000</v>
      </c>
      <c r="G496" s="22">
        <v>0</v>
      </c>
      <c r="H496" s="22">
        <v>25</v>
      </c>
      <c r="I496" s="22">
        <v>0</v>
      </c>
      <c r="J496" s="22">
        <f>1000+300+1211.88</f>
        <v>2511.88</v>
      </c>
      <c r="K496" s="22">
        <f>F496*2.87%</f>
        <v>287</v>
      </c>
      <c r="L496" s="22">
        <f>F496*7.1%</f>
        <v>709.99999999999989</v>
      </c>
      <c r="M496" s="22">
        <v>130</v>
      </c>
      <c r="N496" s="22">
        <v>304</v>
      </c>
      <c r="O496" s="22">
        <v>709</v>
      </c>
      <c r="P496" s="22">
        <v>0</v>
      </c>
      <c r="Q496" s="21">
        <f>K496+N496</f>
        <v>591</v>
      </c>
      <c r="R496" s="21">
        <f>G496+H496+I496+J496+K496+N496+P496</f>
        <v>3127.88</v>
      </c>
      <c r="S496" s="21">
        <f>L496+M496+O496</f>
        <v>1549</v>
      </c>
      <c r="T496" s="21">
        <f>F496-R496</f>
        <v>6872.12</v>
      </c>
      <c r="U496" s="24" t="s">
        <v>30</v>
      </c>
    </row>
    <row r="497" spans="1:21" ht="15.75" customHeight="1">
      <c r="A497" s="23">
        <v>482</v>
      </c>
      <c r="B497" s="23" t="s">
        <v>592</v>
      </c>
      <c r="C497" s="23" t="s">
        <v>51</v>
      </c>
      <c r="D497" s="23" t="s">
        <v>52</v>
      </c>
      <c r="E497" s="24" t="s">
        <v>29</v>
      </c>
      <c r="F497" s="21">
        <v>10000</v>
      </c>
      <c r="G497" s="22">
        <v>0</v>
      </c>
      <c r="H497" s="22">
        <v>25</v>
      </c>
      <c r="I497" s="22">
        <v>0</v>
      </c>
      <c r="J497" s="22">
        <v>0</v>
      </c>
      <c r="K497" s="22">
        <f>F497*2.87%</f>
        <v>287</v>
      </c>
      <c r="L497" s="22">
        <f>F497*7.1%</f>
        <v>709.99999999999989</v>
      </c>
      <c r="M497" s="22">
        <v>130</v>
      </c>
      <c r="N497" s="22">
        <v>304</v>
      </c>
      <c r="O497" s="22">
        <v>709</v>
      </c>
      <c r="P497" s="22">
        <v>0</v>
      </c>
      <c r="Q497" s="21">
        <f>K497+N497</f>
        <v>591</v>
      </c>
      <c r="R497" s="21">
        <f>G497+H497+I497+J497+K497+N497+P497</f>
        <v>616</v>
      </c>
      <c r="S497" s="21">
        <f>L497+M497+O497</f>
        <v>1549</v>
      </c>
      <c r="T497" s="21">
        <f>F497-R497</f>
        <v>9384</v>
      </c>
      <c r="U497" s="24" t="s">
        <v>30</v>
      </c>
    </row>
    <row r="498" spans="1:21" ht="15.75" customHeight="1">
      <c r="A498" s="23">
        <v>483</v>
      </c>
      <c r="B498" s="23" t="s">
        <v>593</v>
      </c>
      <c r="C498" s="23" t="s">
        <v>358</v>
      </c>
      <c r="D498" s="23" t="s">
        <v>78</v>
      </c>
      <c r="E498" s="24" t="s">
        <v>29</v>
      </c>
      <c r="F498" s="21">
        <v>11000</v>
      </c>
      <c r="G498" s="22">
        <v>0</v>
      </c>
      <c r="H498" s="22">
        <v>25</v>
      </c>
      <c r="I498" s="22">
        <v>0</v>
      </c>
      <c r="J498" s="22">
        <v>0</v>
      </c>
      <c r="K498" s="22">
        <f>F498*2.87%</f>
        <v>315.7</v>
      </c>
      <c r="L498" s="22">
        <f>F498*7.1%</f>
        <v>780.99999999999989</v>
      </c>
      <c r="M498" s="22">
        <v>143</v>
      </c>
      <c r="N498" s="22">
        <v>334.4</v>
      </c>
      <c r="O498" s="22">
        <v>779.90000000000009</v>
      </c>
      <c r="P498" s="22">
        <v>0</v>
      </c>
      <c r="Q498" s="21">
        <f>K498+N498</f>
        <v>650.09999999999991</v>
      </c>
      <c r="R498" s="21">
        <f>G498+H498+I498+J498+K498+N498+P498</f>
        <v>675.09999999999991</v>
      </c>
      <c r="S498" s="21">
        <f>L498+M498+O498</f>
        <v>1703.9</v>
      </c>
      <c r="T498" s="21">
        <f>F498-R498</f>
        <v>10324.9</v>
      </c>
      <c r="U498" s="24" t="s">
        <v>30</v>
      </c>
    </row>
    <row r="499" spans="1:21" ht="15.75" customHeight="1">
      <c r="A499" s="19">
        <v>484</v>
      </c>
      <c r="B499" s="23" t="s">
        <v>594</v>
      </c>
      <c r="C499" s="23" t="s">
        <v>595</v>
      </c>
      <c r="D499" s="23" t="s">
        <v>28</v>
      </c>
      <c r="E499" s="24" t="s">
        <v>317</v>
      </c>
      <c r="F499" s="21">
        <v>30000</v>
      </c>
      <c r="G499" s="22">
        <v>0</v>
      </c>
      <c r="H499" s="22">
        <v>25</v>
      </c>
      <c r="I499" s="22">
        <v>0</v>
      </c>
      <c r="J499" s="22">
        <v>0</v>
      </c>
      <c r="K499" s="22">
        <f>F499*2.87%</f>
        <v>861</v>
      </c>
      <c r="L499" s="22">
        <f>F499*7.1%</f>
        <v>2130</v>
      </c>
      <c r="M499" s="22">
        <v>390</v>
      </c>
      <c r="N499" s="22">
        <v>912</v>
      </c>
      <c r="O499" s="22">
        <v>2127</v>
      </c>
      <c r="P499" s="22">
        <v>1587.38</v>
      </c>
      <c r="Q499" s="21">
        <f>K499+N499</f>
        <v>1773</v>
      </c>
      <c r="R499" s="21">
        <f>G499+H499+I499+J499+K499+N499+P499</f>
        <v>3385.38</v>
      </c>
      <c r="S499" s="21">
        <f>L499+M499+O499</f>
        <v>4647</v>
      </c>
      <c r="T499" s="21">
        <f>F499-R499</f>
        <v>26614.62</v>
      </c>
      <c r="U499" s="24" t="s">
        <v>30</v>
      </c>
    </row>
    <row r="500" spans="1:21" ht="15.75" customHeight="1">
      <c r="A500" s="23">
        <v>485</v>
      </c>
      <c r="B500" s="23" t="s">
        <v>596</v>
      </c>
      <c r="C500" s="23" t="s">
        <v>88</v>
      </c>
      <c r="D500" s="23" t="s">
        <v>61</v>
      </c>
      <c r="E500" s="24" t="s">
        <v>29</v>
      </c>
      <c r="F500" s="21">
        <v>10000</v>
      </c>
      <c r="G500" s="22">
        <v>0</v>
      </c>
      <c r="H500" s="22">
        <v>25</v>
      </c>
      <c r="I500" s="22">
        <v>0</v>
      </c>
      <c r="J500" s="22">
        <v>0</v>
      </c>
      <c r="K500" s="22">
        <f>F500*2.87%</f>
        <v>287</v>
      </c>
      <c r="L500" s="22">
        <f>F500*7.1%</f>
        <v>709.99999999999989</v>
      </c>
      <c r="M500" s="22">
        <v>130</v>
      </c>
      <c r="N500" s="22">
        <v>304</v>
      </c>
      <c r="O500" s="22">
        <v>709</v>
      </c>
      <c r="P500" s="22">
        <v>0</v>
      </c>
      <c r="Q500" s="21">
        <f>K500+N500</f>
        <v>591</v>
      </c>
      <c r="R500" s="21">
        <f>G500+H500+I500+J500+K500+N500+P500</f>
        <v>616</v>
      </c>
      <c r="S500" s="21">
        <f>L500+M500+O500</f>
        <v>1549</v>
      </c>
      <c r="T500" s="21">
        <f>F500-R500</f>
        <v>9384</v>
      </c>
      <c r="U500" s="24" t="s">
        <v>30</v>
      </c>
    </row>
    <row r="501" spans="1:21" ht="15.75" customHeight="1">
      <c r="A501" s="23">
        <v>486</v>
      </c>
      <c r="B501" s="23" t="s">
        <v>597</v>
      </c>
      <c r="C501" s="23" t="s">
        <v>66</v>
      </c>
      <c r="D501" s="23" t="s">
        <v>61</v>
      </c>
      <c r="E501" s="24" t="s">
        <v>29</v>
      </c>
      <c r="F501" s="21">
        <v>14000</v>
      </c>
      <c r="G501" s="22">
        <v>0</v>
      </c>
      <c r="H501" s="22">
        <v>25</v>
      </c>
      <c r="I501" s="22">
        <v>0</v>
      </c>
      <c r="J501" s="22">
        <v>0</v>
      </c>
      <c r="K501" s="22">
        <f>F501*2.87%</f>
        <v>401.8</v>
      </c>
      <c r="L501" s="22">
        <f>F501*7.1%</f>
        <v>993.99999999999989</v>
      </c>
      <c r="M501" s="22">
        <v>182</v>
      </c>
      <c r="N501" s="22">
        <v>425.6</v>
      </c>
      <c r="O501" s="22">
        <v>992.6</v>
      </c>
      <c r="P501" s="22">
        <v>0</v>
      </c>
      <c r="Q501" s="21">
        <f>K501+N501</f>
        <v>827.40000000000009</v>
      </c>
      <c r="R501" s="21">
        <f>G501+H501+I501+J501+K501+N501+P501</f>
        <v>852.40000000000009</v>
      </c>
      <c r="S501" s="21">
        <f>L501+M501+O501</f>
        <v>2168.6</v>
      </c>
      <c r="T501" s="21">
        <f>F501-R501</f>
        <v>13147.6</v>
      </c>
      <c r="U501" s="24" t="s">
        <v>30</v>
      </c>
    </row>
    <row r="502" spans="1:21" ht="15.75" customHeight="1">
      <c r="A502" s="19">
        <v>487</v>
      </c>
      <c r="B502" s="23" t="s">
        <v>598</v>
      </c>
      <c r="C502" s="23" t="s">
        <v>51</v>
      </c>
      <c r="D502" s="23" t="s">
        <v>52</v>
      </c>
      <c r="E502" s="24" t="s">
        <v>29</v>
      </c>
      <c r="F502" s="21">
        <v>10000</v>
      </c>
      <c r="G502" s="22">
        <v>0</v>
      </c>
      <c r="H502" s="22">
        <v>25</v>
      </c>
      <c r="I502" s="22">
        <v>0</v>
      </c>
      <c r="J502" s="22">
        <v>0</v>
      </c>
      <c r="K502" s="22">
        <f>F502*2.87%</f>
        <v>287</v>
      </c>
      <c r="L502" s="22">
        <f>F502*7.1%</f>
        <v>709.99999999999989</v>
      </c>
      <c r="M502" s="22">
        <v>130</v>
      </c>
      <c r="N502" s="22">
        <v>304</v>
      </c>
      <c r="O502" s="22">
        <v>709</v>
      </c>
      <c r="P502" s="22">
        <v>0</v>
      </c>
      <c r="Q502" s="21">
        <f>K502+N502</f>
        <v>591</v>
      </c>
      <c r="R502" s="21">
        <f>G502+H502+I502+J502+K502+N502+P502</f>
        <v>616</v>
      </c>
      <c r="S502" s="21">
        <f>L502+M502+O502</f>
        <v>1549</v>
      </c>
      <c r="T502" s="21">
        <f>F502-R502</f>
        <v>9384</v>
      </c>
      <c r="U502" s="24" t="s">
        <v>30</v>
      </c>
    </row>
    <row r="503" spans="1:21" ht="15.75" customHeight="1">
      <c r="A503" s="23">
        <v>488</v>
      </c>
      <c r="B503" s="23" t="s">
        <v>599</v>
      </c>
      <c r="C503" s="23" t="s">
        <v>66</v>
      </c>
      <c r="D503" s="23" t="s">
        <v>58</v>
      </c>
      <c r="E503" s="24" t="s">
        <v>29</v>
      </c>
      <c r="F503" s="21">
        <v>14000</v>
      </c>
      <c r="G503" s="22">
        <v>0</v>
      </c>
      <c r="H503" s="22">
        <v>25</v>
      </c>
      <c r="I503" s="22">
        <v>0</v>
      </c>
      <c r="J503" s="22">
        <f>300+1000+4387.92</f>
        <v>5687.92</v>
      </c>
      <c r="K503" s="22">
        <f>F503*2.87%</f>
        <v>401.8</v>
      </c>
      <c r="L503" s="22">
        <f>F503*7.1%</f>
        <v>993.99999999999989</v>
      </c>
      <c r="M503" s="22">
        <v>182</v>
      </c>
      <c r="N503" s="22">
        <v>425.6</v>
      </c>
      <c r="O503" s="22">
        <v>992.6</v>
      </c>
      <c r="P503" s="22">
        <v>1587.38</v>
      </c>
      <c r="Q503" s="21">
        <f>K503+N503</f>
        <v>827.40000000000009</v>
      </c>
      <c r="R503" s="21">
        <f>G503+H503+I503+J503+K503+N503+P503</f>
        <v>8127.7000000000007</v>
      </c>
      <c r="S503" s="21">
        <f>L503+M503+O503</f>
        <v>2168.6</v>
      </c>
      <c r="T503" s="21">
        <f>F503-R503</f>
        <v>5872.2999999999993</v>
      </c>
      <c r="U503" s="24" t="s">
        <v>30</v>
      </c>
    </row>
    <row r="504" spans="1:21" ht="15.75" customHeight="1">
      <c r="A504" s="23">
        <v>489</v>
      </c>
      <c r="B504" s="23" t="s">
        <v>600</v>
      </c>
      <c r="C504" s="23" t="s">
        <v>195</v>
      </c>
      <c r="D504" s="23" t="s">
        <v>72</v>
      </c>
      <c r="E504" s="24" t="s">
        <v>29</v>
      </c>
      <c r="F504" s="21">
        <v>15000</v>
      </c>
      <c r="G504" s="22">
        <v>0</v>
      </c>
      <c r="H504" s="22">
        <v>25</v>
      </c>
      <c r="I504" s="22">
        <v>0</v>
      </c>
      <c r="J504" s="22">
        <f>1000+300+6404.78</f>
        <v>7704.78</v>
      </c>
      <c r="K504" s="22">
        <f>F504*2.87%</f>
        <v>430.5</v>
      </c>
      <c r="L504" s="22">
        <f>F504*7.1%</f>
        <v>1065</v>
      </c>
      <c r="M504" s="22">
        <v>195</v>
      </c>
      <c r="N504" s="22">
        <v>456</v>
      </c>
      <c r="O504" s="22">
        <v>1063.5</v>
      </c>
      <c r="P504" s="22">
        <v>0</v>
      </c>
      <c r="Q504" s="21">
        <f>K504+N504</f>
        <v>886.5</v>
      </c>
      <c r="R504" s="21">
        <f>G504+H504+I504+J504+K504+N504+P504</f>
        <v>8616.2799999999988</v>
      </c>
      <c r="S504" s="21">
        <f>L504+M504+O504</f>
        <v>2323.5</v>
      </c>
      <c r="T504" s="21">
        <f>F504-R504</f>
        <v>6383.7200000000012</v>
      </c>
      <c r="U504" s="24" t="s">
        <v>36</v>
      </c>
    </row>
    <row r="505" spans="1:21" ht="15.75" customHeight="1">
      <c r="A505" s="19">
        <v>490</v>
      </c>
      <c r="B505" s="23" t="s">
        <v>601</v>
      </c>
      <c r="C505" s="23" t="s">
        <v>51</v>
      </c>
      <c r="D505" s="23" t="s">
        <v>52</v>
      </c>
      <c r="E505" s="24" t="s">
        <v>29</v>
      </c>
      <c r="F505" s="21">
        <v>15000</v>
      </c>
      <c r="G505" s="22">
        <v>0</v>
      </c>
      <c r="H505" s="22">
        <v>25</v>
      </c>
      <c r="I505" s="22">
        <v>0</v>
      </c>
      <c r="J505" s="22">
        <v>0</v>
      </c>
      <c r="K505" s="22">
        <f>F505*2.87%</f>
        <v>430.5</v>
      </c>
      <c r="L505" s="22">
        <f>F505*7.1%</f>
        <v>1065</v>
      </c>
      <c r="M505" s="22">
        <v>195</v>
      </c>
      <c r="N505" s="22">
        <v>456</v>
      </c>
      <c r="O505" s="22">
        <v>1063.5</v>
      </c>
      <c r="P505" s="22">
        <v>0</v>
      </c>
      <c r="Q505" s="21">
        <f>K505+N505</f>
        <v>886.5</v>
      </c>
      <c r="R505" s="21">
        <f>G505+H505+I505+J505+K505+N505+P505</f>
        <v>911.5</v>
      </c>
      <c r="S505" s="21">
        <f>L505+M505+O505</f>
        <v>2323.5</v>
      </c>
      <c r="T505" s="21">
        <f>F505-R505</f>
        <v>14088.5</v>
      </c>
      <c r="U505" s="24" t="s">
        <v>30</v>
      </c>
    </row>
    <row r="506" spans="1:21" ht="15.75" customHeight="1">
      <c r="A506" s="23">
        <v>491</v>
      </c>
      <c r="B506" s="23" t="s">
        <v>602</v>
      </c>
      <c r="C506" s="23" t="s">
        <v>68</v>
      </c>
      <c r="D506" s="23" t="s">
        <v>72</v>
      </c>
      <c r="E506" s="24" t="s">
        <v>29</v>
      </c>
      <c r="F506" s="21">
        <v>40000</v>
      </c>
      <c r="G506" s="22">
        <v>442.65</v>
      </c>
      <c r="H506" s="22">
        <v>25</v>
      </c>
      <c r="I506" s="22">
        <v>0</v>
      </c>
      <c r="J506" s="22">
        <v>0</v>
      </c>
      <c r="K506" s="22">
        <f>F506*2.87%</f>
        <v>1148</v>
      </c>
      <c r="L506" s="22">
        <f>F506*7.1%</f>
        <v>2839.9999999999995</v>
      </c>
      <c r="M506" s="22">
        <v>520</v>
      </c>
      <c r="N506" s="22">
        <v>1216</v>
      </c>
      <c r="O506" s="22">
        <v>2836</v>
      </c>
      <c r="P506" s="22">
        <v>0</v>
      </c>
      <c r="Q506" s="21">
        <f>K506+N506</f>
        <v>2364</v>
      </c>
      <c r="R506" s="21">
        <f>G506+H506+I506+J506+K506+N506+P506</f>
        <v>2831.65</v>
      </c>
      <c r="S506" s="21">
        <f>L506+M506+O506</f>
        <v>6196</v>
      </c>
      <c r="T506" s="21">
        <f>F506-R506</f>
        <v>37168.35</v>
      </c>
      <c r="U506" s="24" t="s">
        <v>36</v>
      </c>
    </row>
    <row r="507" spans="1:21" ht="15.75" customHeight="1">
      <c r="A507" s="23">
        <v>492</v>
      </c>
      <c r="B507" s="23" t="s">
        <v>744</v>
      </c>
      <c r="C507" s="23" t="s">
        <v>745</v>
      </c>
      <c r="D507" s="23" t="s">
        <v>746</v>
      </c>
      <c r="E507" s="24" t="s">
        <v>29</v>
      </c>
      <c r="F507" s="21">
        <v>90000</v>
      </c>
      <c r="G507" s="22">
        <v>9753.1200000000008</v>
      </c>
      <c r="H507" s="22">
        <v>25</v>
      </c>
      <c r="I507" s="22">
        <v>0</v>
      </c>
      <c r="J507" s="22">
        <v>0</v>
      </c>
      <c r="K507" s="22">
        <f>F507*2.87%</f>
        <v>2583</v>
      </c>
      <c r="L507" s="22">
        <f>F507*7.1%</f>
        <v>6389.9999999999991</v>
      </c>
      <c r="M507" s="22">
        <v>972.5</v>
      </c>
      <c r="N507" s="22">
        <v>2736</v>
      </c>
      <c r="O507" s="22">
        <v>6381</v>
      </c>
      <c r="P507" s="22">
        <v>0</v>
      </c>
      <c r="Q507" s="21">
        <f>K507+N507</f>
        <v>5319</v>
      </c>
      <c r="R507" s="21">
        <f>G507+H507+I507+J507+K507+N507+P507</f>
        <v>15097.12</v>
      </c>
      <c r="S507" s="21">
        <f>L507+M507+O507</f>
        <v>13743.5</v>
      </c>
      <c r="T507" s="21">
        <f>F507-R507</f>
        <v>74902.880000000005</v>
      </c>
      <c r="U507" s="24" t="s">
        <v>30</v>
      </c>
    </row>
    <row r="508" spans="1:21" ht="15.75" customHeight="1">
      <c r="A508" s="19">
        <v>493</v>
      </c>
      <c r="B508" s="23" t="s">
        <v>603</v>
      </c>
      <c r="C508" s="23" t="s">
        <v>96</v>
      </c>
      <c r="D508" s="23" t="s">
        <v>49</v>
      </c>
      <c r="E508" s="24" t="s">
        <v>29</v>
      </c>
      <c r="F508" s="21">
        <v>20000</v>
      </c>
      <c r="G508" s="22">
        <v>0</v>
      </c>
      <c r="H508" s="22">
        <v>25</v>
      </c>
      <c r="I508" s="22">
        <v>0</v>
      </c>
      <c r="J508" s="22">
        <v>0</v>
      </c>
      <c r="K508" s="22">
        <f>F508*2.87%</f>
        <v>574</v>
      </c>
      <c r="L508" s="22">
        <f>F508*7.1%</f>
        <v>1419.9999999999998</v>
      </c>
      <c r="M508" s="22">
        <v>260</v>
      </c>
      <c r="N508" s="22">
        <v>608</v>
      </c>
      <c r="O508" s="22">
        <v>1418</v>
      </c>
      <c r="P508" s="22">
        <v>0</v>
      </c>
      <c r="Q508" s="21">
        <f>K508+N508</f>
        <v>1182</v>
      </c>
      <c r="R508" s="21">
        <f>G508+H508+I508+J508+K508+N508+P508</f>
        <v>1207</v>
      </c>
      <c r="S508" s="21">
        <f>L508+M508+O508</f>
        <v>3098</v>
      </c>
      <c r="T508" s="21">
        <f>F508-R508</f>
        <v>18793</v>
      </c>
      <c r="U508" s="24" t="s">
        <v>30</v>
      </c>
    </row>
    <row r="509" spans="1:21" ht="15.75" customHeight="1">
      <c r="A509" s="23">
        <v>494</v>
      </c>
      <c r="B509" s="23" t="s">
        <v>604</v>
      </c>
      <c r="C509" s="23" t="s">
        <v>201</v>
      </c>
      <c r="D509" s="23" t="s">
        <v>72</v>
      </c>
      <c r="E509" s="24" t="s">
        <v>29</v>
      </c>
      <c r="F509" s="21">
        <v>18000</v>
      </c>
      <c r="G509" s="22">
        <v>0</v>
      </c>
      <c r="H509" s="22">
        <v>25</v>
      </c>
      <c r="I509" s="22">
        <v>0</v>
      </c>
      <c r="J509" s="22">
        <v>0</v>
      </c>
      <c r="K509" s="22">
        <f>F509*2.87%</f>
        <v>516.6</v>
      </c>
      <c r="L509" s="22">
        <f>F509*7.1%</f>
        <v>1277.9999999999998</v>
      </c>
      <c r="M509" s="22">
        <v>234</v>
      </c>
      <c r="N509" s="22">
        <v>547.20000000000005</v>
      </c>
      <c r="O509" s="22">
        <v>1276.2</v>
      </c>
      <c r="P509" s="22">
        <v>0</v>
      </c>
      <c r="Q509" s="21">
        <f>K509+N509</f>
        <v>1063.8000000000002</v>
      </c>
      <c r="R509" s="21">
        <f>G509+H509+I509+J509+K509+N509+P509</f>
        <v>1088.8000000000002</v>
      </c>
      <c r="S509" s="21">
        <f>L509+M509+O509</f>
        <v>2788.2</v>
      </c>
      <c r="T509" s="21">
        <f>F509-R509</f>
        <v>16911.2</v>
      </c>
      <c r="U509" s="24" t="s">
        <v>30</v>
      </c>
    </row>
    <row r="510" spans="1:21" ht="15.75" customHeight="1">
      <c r="A510" s="23">
        <v>495</v>
      </c>
      <c r="B510" s="23" t="s">
        <v>605</v>
      </c>
      <c r="C510" s="23" t="s">
        <v>535</v>
      </c>
      <c r="D510" s="23" t="s">
        <v>98</v>
      </c>
      <c r="E510" s="24" t="s">
        <v>29</v>
      </c>
      <c r="F510" s="21">
        <v>20000</v>
      </c>
      <c r="G510" s="22">
        <v>0</v>
      </c>
      <c r="H510" s="22">
        <v>25</v>
      </c>
      <c r="I510" s="22">
        <v>0</v>
      </c>
      <c r="J510" s="22">
        <v>0</v>
      </c>
      <c r="K510" s="22">
        <f>F510*2.87%</f>
        <v>574</v>
      </c>
      <c r="L510" s="22">
        <f>F510*7.1%</f>
        <v>1419.9999999999998</v>
      </c>
      <c r="M510" s="22">
        <v>260</v>
      </c>
      <c r="N510" s="22">
        <v>608</v>
      </c>
      <c r="O510" s="22">
        <v>1418</v>
      </c>
      <c r="P510" s="22">
        <v>0</v>
      </c>
      <c r="Q510" s="21">
        <f>K510+N510</f>
        <v>1182</v>
      </c>
      <c r="R510" s="21">
        <f>G510+H510+I510+J510+K510+N510+P510</f>
        <v>1207</v>
      </c>
      <c r="S510" s="21">
        <f>L510+M510+O510</f>
        <v>3098</v>
      </c>
      <c r="T510" s="21">
        <f>F510-R510</f>
        <v>18793</v>
      </c>
      <c r="U510" s="24" t="s">
        <v>30</v>
      </c>
    </row>
    <row r="511" spans="1:21" ht="15.75" customHeight="1">
      <c r="A511" s="19">
        <v>496</v>
      </c>
      <c r="B511" s="23" t="s">
        <v>606</v>
      </c>
      <c r="C511" s="23" t="s">
        <v>66</v>
      </c>
      <c r="D511" s="23" t="s">
        <v>98</v>
      </c>
      <c r="E511" s="24" t="s">
        <v>29</v>
      </c>
      <c r="F511" s="21">
        <v>30000</v>
      </c>
      <c r="G511" s="22">
        <v>0</v>
      </c>
      <c r="H511" s="22">
        <v>25</v>
      </c>
      <c r="I511" s="22">
        <v>0</v>
      </c>
      <c r="J511" s="22">
        <f>700+300+4053.21+1260.03</f>
        <v>6313.24</v>
      </c>
      <c r="K511" s="22">
        <f>F511*2.87%</f>
        <v>861</v>
      </c>
      <c r="L511" s="22">
        <f>F511*7.1%</f>
        <v>2130</v>
      </c>
      <c r="M511" s="22">
        <v>390</v>
      </c>
      <c r="N511" s="22">
        <v>912</v>
      </c>
      <c r="O511" s="22">
        <v>2127</v>
      </c>
      <c r="P511" s="22">
        <v>0</v>
      </c>
      <c r="Q511" s="21">
        <f>K511+N511</f>
        <v>1773</v>
      </c>
      <c r="R511" s="21">
        <f>G511+H511+I511+J511+K511+N511+P511</f>
        <v>8111.24</v>
      </c>
      <c r="S511" s="21">
        <f>L511+M511+O511</f>
        <v>4647</v>
      </c>
      <c r="T511" s="21">
        <f>F511-R511</f>
        <v>21888.760000000002</v>
      </c>
      <c r="U511" s="24" t="s">
        <v>30</v>
      </c>
    </row>
    <row r="512" spans="1:21" ht="15.75" customHeight="1">
      <c r="A512" s="23">
        <v>497</v>
      </c>
      <c r="B512" s="23" t="s">
        <v>607</v>
      </c>
      <c r="C512" s="23" t="s">
        <v>608</v>
      </c>
      <c r="D512" s="23" t="s">
        <v>72</v>
      </c>
      <c r="E512" s="24" t="s">
        <v>317</v>
      </c>
      <c r="F512" s="21">
        <v>20000</v>
      </c>
      <c r="G512" s="22">
        <v>0</v>
      </c>
      <c r="H512" s="22">
        <v>25</v>
      </c>
      <c r="I512" s="22">
        <v>0</v>
      </c>
      <c r="J512" s="22">
        <v>0</v>
      </c>
      <c r="K512" s="22">
        <f>F512*2.87%</f>
        <v>574</v>
      </c>
      <c r="L512" s="22">
        <f>F512*7.1%</f>
        <v>1419.9999999999998</v>
      </c>
      <c r="M512" s="22">
        <v>260</v>
      </c>
      <c r="N512" s="22">
        <v>608</v>
      </c>
      <c r="O512" s="22">
        <v>1418</v>
      </c>
      <c r="P512" s="22">
        <v>0</v>
      </c>
      <c r="Q512" s="21">
        <f>K512+N512</f>
        <v>1182</v>
      </c>
      <c r="R512" s="21">
        <f>G512+H512+I512+J512+K512+N512+P512</f>
        <v>1207</v>
      </c>
      <c r="S512" s="21">
        <f>L512+M512+O512</f>
        <v>3098</v>
      </c>
      <c r="T512" s="21">
        <f>F512-R512</f>
        <v>18793</v>
      </c>
      <c r="U512" s="24" t="s">
        <v>30</v>
      </c>
    </row>
    <row r="513" spans="1:21" ht="15.75" customHeight="1">
      <c r="A513" s="23">
        <v>498</v>
      </c>
      <c r="B513" s="23" t="s">
        <v>609</v>
      </c>
      <c r="C513" s="23" t="s">
        <v>66</v>
      </c>
      <c r="D513" s="23" t="s">
        <v>58</v>
      </c>
      <c r="E513" s="24" t="s">
        <v>29</v>
      </c>
      <c r="F513" s="21">
        <v>31000</v>
      </c>
      <c r="G513" s="22">
        <v>0</v>
      </c>
      <c r="H513" s="22">
        <v>25</v>
      </c>
      <c r="I513" s="22">
        <v>0</v>
      </c>
      <c r="J513" s="22">
        <v>0</v>
      </c>
      <c r="K513" s="22">
        <f>F513*2.87%</f>
        <v>889.7</v>
      </c>
      <c r="L513" s="22">
        <f>F513*7.1%</f>
        <v>2201</v>
      </c>
      <c r="M513" s="22">
        <v>403</v>
      </c>
      <c r="N513" s="22">
        <v>942.4</v>
      </c>
      <c r="O513" s="22">
        <v>2197.9</v>
      </c>
      <c r="P513" s="22">
        <v>0</v>
      </c>
      <c r="Q513" s="21">
        <f>K513+N513</f>
        <v>1832.1</v>
      </c>
      <c r="R513" s="21">
        <f>G513+H513+I513+J513+K513+N513+P513</f>
        <v>1857.1</v>
      </c>
      <c r="S513" s="21">
        <f>L513+M513+O513</f>
        <v>4801.8999999999996</v>
      </c>
      <c r="T513" s="21">
        <f>F513-R513</f>
        <v>29142.9</v>
      </c>
      <c r="U513" s="24" t="s">
        <v>30</v>
      </c>
    </row>
    <row r="514" spans="1:21" ht="15.75" customHeight="1">
      <c r="A514" s="19">
        <v>499</v>
      </c>
      <c r="B514" s="23" t="s">
        <v>610</v>
      </c>
      <c r="C514" s="23" t="s">
        <v>368</v>
      </c>
      <c r="D514" s="23" t="s">
        <v>61</v>
      </c>
      <c r="E514" s="24" t="s">
        <v>29</v>
      </c>
      <c r="F514" s="21">
        <v>12000</v>
      </c>
      <c r="G514" s="22">
        <v>0</v>
      </c>
      <c r="H514" s="22">
        <v>25</v>
      </c>
      <c r="I514" s="22">
        <v>0</v>
      </c>
      <c r="J514" s="22">
        <f>300+300+2832.16+1965</f>
        <v>5397.16</v>
      </c>
      <c r="K514" s="22">
        <f>F514*2.87%</f>
        <v>344.4</v>
      </c>
      <c r="L514" s="22">
        <f>F514*7.1%</f>
        <v>851.99999999999989</v>
      </c>
      <c r="M514" s="22">
        <v>156</v>
      </c>
      <c r="N514" s="22">
        <v>364.8</v>
      </c>
      <c r="O514" s="22">
        <v>850.80000000000007</v>
      </c>
      <c r="P514" s="22">
        <v>0</v>
      </c>
      <c r="Q514" s="21">
        <f>K514+N514</f>
        <v>709.2</v>
      </c>
      <c r="R514" s="21">
        <f>G514+H514+I514+J514+K514+N514+P514</f>
        <v>6131.36</v>
      </c>
      <c r="S514" s="21">
        <f>L514+M514+O514</f>
        <v>1858.8</v>
      </c>
      <c r="T514" s="21">
        <f>F514-R514</f>
        <v>5868.64</v>
      </c>
      <c r="U514" s="24" t="s">
        <v>30</v>
      </c>
    </row>
    <row r="515" spans="1:21" ht="15.75" customHeight="1">
      <c r="A515" s="23">
        <v>500</v>
      </c>
      <c r="B515" s="23" t="s">
        <v>611</v>
      </c>
      <c r="C515" s="23" t="s">
        <v>57</v>
      </c>
      <c r="D515" s="23" t="s">
        <v>58</v>
      </c>
      <c r="E515" s="24" t="s">
        <v>29</v>
      </c>
      <c r="F515" s="21">
        <v>15000</v>
      </c>
      <c r="G515" s="22">
        <v>0</v>
      </c>
      <c r="H515" s="22">
        <v>25</v>
      </c>
      <c r="I515" s="22">
        <v>0</v>
      </c>
      <c r="J515" s="22">
        <v>0</v>
      </c>
      <c r="K515" s="22">
        <f>F515*2.87%</f>
        <v>430.5</v>
      </c>
      <c r="L515" s="22">
        <f>F515*7.1%</f>
        <v>1065</v>
      </c>
      <c r="M515" s="22">
        <v>195</v>
      </c>
      <c r="N515" s="22">
        <v>456</v>
      </c>
      <c r="O515" s="22">
        <v>1063.5</v>
      </c>
      <c r="P515" s="22">
        <v>0</v>
      </c>
      <c r="Q515" s="21">
        <f>K515+N515</f>
        <v>886.5</v>
      </c>
      <c r="R515" s="21">
        <f>G515+H515+I515+J515+K515+N515+P515</f>
        <v>911.5</v>
      </c>
      <c r="S515" s="21">
        <f>L515+M515+O515</f>
        <v>2323.5</v>
      </c>
      <c r="T515" s="21">
        <f>F515-R515</f>
        <v>14088.5</v>
      </c>
      <c r="U515" s="24" t="s">
        <v>30</v>
      </c>
    </row>
    <row r="516" spans="1:21" ht="15.75" customHeight="1">
      <c r="A516" s="23">
        <v>501</v>
      </c>
      <c r="B516" s="23" t="s">
        <v>612</v>
      </c>
      <c r="C516" s="23" t="s">
        <v>63</v>
      </c>
      <c r="D516" s="23" t="s">
        <v>98</v>
      </c>
      <c r="E516" s="24" t="s">
        <v>29</v>
      </c>
      <c r="F516" s="21">
        <v>20000</v>
      </c>
      <c r="G516" s="22">
        <v>0</v>
      </c>
      <c r="H516" s="22">
        <v>25</v>
      </c>
      <c r="I516" s="22">
        <v>0</v>
      </c>
      <c r="J516" s="22">
        <v>0</v>
      </c>
      <c r="K516" s="22">
        <f>F516*2.87%</f>
        <v>574</v>
      </c>
      <c r="L516" s="22">
        <f>F516*7.1%</f>
        <v>1419.9999999999998</v>
      </c>
      <c r="M516" s="22">
        <v>260</v>
      </c>
      <c r="N516" s="22">
        <v>608</v>
      </c>
      <c r="O516" s="22">
        <v>1418</v>
      </c>
      <c r="P516" s="22">
        <v>0</v>
      </c>
      <c r="Q516" s="21">
        <f>K516+N516</f>
        <v>1182</v>
      </c>
      <c r="R516" s="21">
        <f>G516+H516+I516+J516+K516+N516+P516</f>
        <v>1207</v>
      </c>
      <c r="S516" s="21">
        <f>L516+M516+O516</f>
        <v>3098</v>
      </c>
      <c r="T516" s="21">
        <f>F516-R516</f>
        <v>18793</v>
      </c>
      <c r="U516" s="24" t="s">
        <v>30</v>
      </c>
    </row>
    <row r="517" spans="1:21" ht="15.75" customHeight="1">
      <c r="A517" s="19">
        <v>502</v>
      </c>
      <c r="B517" s="23" t="s">
        <v>613</v>
      </c>
      <c r="C517" s="23" t="s">
        <v>88</v>
      </c>
      <c r="D517" s="23" t="s">
        <v>61</v>
      </c>
      <c r="E517" s="24" t="s">
        <v>29</v>
      </c>
      <c r="F517" s="21">
        <v>25000</v>
      </c>
      <c r="G517" s="22">
        <v>0</v>
      </c>
      <c r="H517" s="22">
        <v>25</v>
      </c>
      <c r="I517" s="22">
        <v>0</v>
      </c>
      <c r="J517" s="22">
        <f>3000+300</f>
        <v>3300</v>
      </c>
      <c r="K517" s="22">
        <f>F517*2.87%</f>
        <v>717.5</v>
      </c>
      <c r="L517" s="22">
        <f>F517*7.1%</f>
        <v>1774.9999999999998</v>
      </c>
      <c r="M517" s="22">
        <v>325</v>
      </c>
      <c r="N517" s="22">
        <v>760</v>
      </c>
      <c r="O517" s="22">
        <v>1772.5000000000002</v>
      </c>
      <c r="P517" s="22">
        <v>0</v>
      </c>
      <c r="Q517" s="21">
        <f>K517+N517</f>
        <v>1477.5</v>
      </c>
      <c r="R517" s="21">
        <f>G517+H517+I517+J517+K517+N517+P517</f>
        <v>4802.5</v>
      </c>
      <c r="S517" s="21">
        <f>L517+M517+O517</f>
        <v>3872.5</v>
      </c>
      <c r="T517" s="21">
        <f>F517-R517</f>
        <v>20197.5</v>
      </c>
      <c r="U517" s="24" t="s">
        <v>30</v>
      </c>
    </row>
    <row r="518" spans="1:21" ht="15.75" customHeight="1">
      <c r="A518" s="23">
        <v>503</v>
      </c>
      <c r="B518" s="23" t="s">
        <v>614</v>
      </c>
      <c r="C518" s="23" t="s">
        <v>240</v>
      </c>
      <c r="D518" s="23" t="s">
        <v>72</v>
      </c>
      <c r="E518" s="24" t="s">
        <v>29</v>
      </c>
      <c r="F518" s="21">
        <v>25000</v>
      </c>
      <c r="G518" s="22">
        <v>0</v>
      </c>
      <c r="H518" s="22">
        <v>25</v>
      </c>
      <c r="I518" s="22">
        <v>0</v>
      </c>
      <c r="J518" s="22">
        <f>1000+300</f>
        <v>1300</v>
      </c>
      <c r="K518" s="22">
        <f>F518*2.87%</f>
        <v>717.5</v>
      </c>
      <c r="L518" s="22">
        <f>F518*7.1%</f>
        <v>1774.9999999999998</v>
      </c>
      <c r="M518" s="22">
        <v>325</v>
      </c>
      <c r="N518" s="22">
        <v>760</v>
      </c>
      <c r="O518" s="22">
        <v>1772.5000000000002</v>
      </c>
      <c r="P518" s="22">
        <v>0</v>
      </c>
      <c r="Q518" s="21">
        <f>K518+N518</f>
        <v>1477.5</v>
      </c>
      <c r="R518" s="21">
        <f>G518+H518+I518+J518+K518+N518+P518</f>
        <v>2802.5</v>
      </c>
      <c r="S518" s="21">
        <f>L518+M518+O518</f>
        <v>3872.5</v>
      </c>
      <c r="T518" s="21">
        <f>F518-R518</f>
        <v>22197.5</v>
      </c>
      <c r="U518" s="24" t="s">
        <v>36</v>
      </c>
    </row>
    <row r="519" spans="1:21" ht="15.75" customHeight="1">
      <c r="A519" s="23">
        <v>504</v>
      </c>
      <c r="B519" s="23" t="s">
        <v>615</v>
      </c>
      <c r="C519" s="23" t="s">
        <v>88</v>
      </c>
      <c r="D519" s="23" t="s">
        <v>58</v>
      </c>
      <c r="E519" s="24" t="s">
        <v>29</v>
      </c>
      <c r="F519" s="21">
        <v>15000</v>
      </c>
      <c r="G519" s="22">
        <v>0</v>
      </c>
      <c r="H519" s="22">
        <v>25</v>
      </c>
      <c r="I519" s="22">
        <v>0</v>
      </c>
      <c r="J519" s="22">
        <v>0</v>
      </c>
      <c r="K519" s="22">
        <f>F519*2.87%</f>
        <v>430.5</v>
      </c>
      <c r="L519" s="22">
        <f>F519*7.1%</f>
        <v>1065</v>
      </c>
      <c r="M519" s="22">
        <v>195</v>
      </c>
      <c r="N519" s="22">
        <v>456</v>
      </c>
      <c r="O519" s="22">
        <v>1063.5</v>
      </c>
      <c r="P519" s="22">
        <v>0</v>
      </c>
      <c r="Q519" s="21">
        <f>K519+N519</f>
        <v>886.5</v>
      </c>
      <c r="R519" s="21">
        <f>G519+H519+I519+J519+K519+N519+P519</f>
        <v>911.5</v>
      </c>
      <c r="S519" s="21">
        <f>L519+M519+O519</f>
        <v>2323.5</v>
      </c>
      <c r="T519" s="21">
        <f>F519-R519</f>
        <v>14088.5</v>
      </c>
      <c r="U519" s="24" t="s">
        <v>36</v>
      </c>
    </row>
    <row r="520" spans="1:21" ht="15.75" customHeight="1">
      <c r="A520" s="19">
        <v>505</v>
      </c>
      <c r="B520" s="23" t="s">
        <v>616</v>
      </c>
      <c r="C520" s="23" t="s">
        <v>88</v>
      </c>
      <c r="D520" s="23" t="s">
        <v>64</v>
      </c>
      <c r="E520" s="24" t="s">
        <v>29</v>
      </c>
      <c r="F520" s="21">
        <v>10000</v>
      </c>
      <c r="G520" s="22">
        <v>0</v>
      </c>
      <c r="H520" s="22">
        <v>25</v>
      </c>
      <c r="I520" s="22">
        <v>0</v>
      </c>
      <c r="J520" s="22">
        <v>0</v>
      </c>
      <c r="K520" s="22">
        <f>F520*2.87%</f>
        <v>287</v>
      </c>
      <c r="L520" s="22">
        <f>F520*7.1%</f>
        <v>709.99999999999989</v>
      </c>
      <c r="M520" s="22">
        <v>130</v>
      </c>
      <c r="N520" s="22">
        <v>304</v>
      </c>
      <c r="O520" s="22">
        <v>709</v>
      </c>
      <c r="P520" s="22">
        <v>0</v>
      </c>
      <c r="Q520" s="21">
        <f>K520+N520</f>
        <v>591</v>
      </c>
      <c r="R520" s="21">
        <f>G520+H520+I520+J520+K520+N520+P520</f>
        <v>616</v>
      </c>
      <c r="S520" s="21">
        <f>L520+M520+O520</f>
        <v>1549</v>
      </c>
      <c r="T520" s="21">
        <f>F520-R520</f>
        <v>9384</v>
      </c>
      <c r="U520" s="24" t="s">
        <v>30</v>
      </c>
    </row>
    <row r="521" spans="1:21" ht="15.75" customHeight="1">
      <c r="A521" s="23">
        <v>506</v>
      </c>
      <c r="B521" s="23" t="s">
        <v>617</v>
      </c>
      <c r="C521" s="23" t="s">
        <v>71</v>
      </c>
      <c r="D521" s="23" t="s">
        <v>72</v>
      </c>
      <c r="E521" s="24" t="s">
        <v>29</v>
      </c>
      <c r="F521" s="21">
        <v>18000</v>
      </c>
      <c r="G521" s="22">
        <v>0</v>
      </c>
      <c r="H521" s="22">
        <v>25</v>
      </c>
      <c r="I521" s="22">
        <v>0</v>
      </c>
      <c r="J521" s="22">
        <v>0</v>
      </c>
      <c r="K521" s="22">
        <f>F521*2.87%</f>
        <v>516.6</v>
      </c>
      <c r="L521" s="22">
        <f>F521*7.1%</f>
        <v>1277.9999999999998</v>
      </c>
      <c r="M521" s="22">
        <v>234</v>
      </c>
      <c r="N521" s="22">
        <v>547.20000000000005</v>
      </c>
      <c r="O521" s="22">
        <v>1276.2</v>
      </c>
      <c r="P521" s="22">
        <v>0</v>
      </c>
      <c r="Q521" s="21">
        <f>K521+N521</f>
        <v>1063.8000000000002</v>
      </c>
      <c r="R521" s="21">
        <f>G521+H521+I521+J521+K521+N521+P521</f>
        <v>1088.8000000000002</v>
      </c>
      <c r="S521" s="21">
        <f>L521+M521+O521</f>
        <v>2788.2</v>
      </c>
      <c r="T521" s="21">
        <f>F521-R521</f>
        <v>16911.2</v>
      </c>
      <c r="U521" s="24" t="s">
        <v>36</v>
      </c>
    </row>
    <row r="522" spans="1:21" ht="15.75" customHeight="1">
      <c r="A522" s="23">
        <v>507</v>
      </c>
      <c r="B522" s="23" t="s">
        <v>618</v>
      </c>
      <c r="C522" s="23" t="s">
        <v>71</v>
      </c>
      <c r="D522" s="23" t="s">
        <v>72</v>
      </c>
      <c r="E522" s="24" t="s">
        <v>29</v>
      </c>
      <c r="F522" s="21">
        <v>18000</v>
      </c>
      <c r="G522" s="22">
        <v>0</v>
      </c>
      <c r="H522" s="22">
        <v>25</v>
      </c>
      <c r="I522" s="22">
        <v>0</v>
      </c>
      <c r="J522" s="22">
        <v>0</v>
      </c>
      <c r="K522" s="22">
        <f>F522*2.87%</f>
        <v>516.6</v>
      </c>
      <c r="L522" s="22">
        <f>F522*7.1%</f>
        <v>1277.9999999999998</v>
      </c>
      <c r="M522" s="22">
        <v>234</v>
      </c>
      <c r="N522" s="22">
        <v>547.20000000000005</v>
      </c>
      <c r="O522" s="22">
        <v>1276.2</v>
      </c>
      <c r="P522" s="22">
        <v>0</v>
      </c>
      <c r="Q522" s="21">
        <f>K522+N522</f>
        <v>1063.8000000000002</v>
      </c>
      <c r="R522" s="21">
        <f>G522+H522+I522+J522+K522+N522+P522</f>
        <v>1088.8000000000002</v>
      </c>
      <c r="S522" s="21">
        <f>L522+M522+O522</f>
        <v>2788.2</v>
      </c>
      <c r="T522" s="21">
        <f>F522-R522</f>
        <v>16911.2</v>
      </c>
      <c r="U522" s="24" t="s">
        <v>36</v>
      </c>
    </row>
    <row r="523" spans="1:21" ht="15.75" customHeight="1">
      <c r="A523" s="19">
        <v>508</v>
      </c>
      <c r="B523" s="23" t="s">
        <v>619</v>
      </c>
      <c r="C523" s="23" t="s">
        <v>240</v>
      </c>
      <c r="D523" s="23" t="s">
        <v>72</v>
      </c>
      <c r="E523" s="24" t="s">
        <v>29</v>
      </c>
      <c r="F523" s="21">
        <v>15000</v>
      </c>
      <c r="G523" s="22">
        <v>0</v>
      </c>
      <c r="H523" s="22">
        <v>25</v>
      </c>
      <c r="I523" s="22">
        <v>0</v>
      </c>
      <c r="J523" s="22">
        <f>150+1000+1544.39</f>
        <v>2694.3900000000003</v>
      </c>
      <c r="K523" s="22">
        <f>F523*2.87%</f>
        <v>430.5</v>
      </c>
      <c r="L523" s="22">
        <f>F523*7.1%</f>
        <v>1065</v>
      </c>
      <c r="M523" s="22">
        <v>195</v>
      </c>
      <c r="N523" s="22">
        <v>456</v>
      </c>
      <c r="O523" s="22">
        <v>1063.5</v>
      </c>
      <c r="P523" s="22">
        <v>0</v>
      </c>
      <c r="Q523" s="21">
        <f>K523+N523</f>
        <v>886.5</v>
      </c>
      <c r="R523" s="21">
        <f>G523+H523+I523+J523+K523+N523+P523</f>
        <v>3605.8900000000003</v>
      </c>
      <c r="S523" s="21">
        <f>L523+M523+O523</f>
        <v>2323.5</v>
      </c>
      <c r="T523" s="21">
        <f>F523-R523</f>
        <v>11394.11</v>
      </c>
      <c r="U523" s="24" t="s">
        <v>36</v>
      </c>
    </row>
    <row r="524" spans="1:21" ht="15.75" customHeight="1">
      <c r="A524" s="23">
        <v>509</v>
      </c>
      <c r="B524" s="23" t="s">
        <v>620</v>
      </c>
      <c r="C524" s="23" t="s">
        <v>88</v>
      </c>
      <c r="D524" s="23" t="s">
        <v>72</v>
      </c>
      <c r="E524" s="24" t="s">
        <v>29</v>
      </c>
      <c r="F524" s="21">
        <v>17000</v>
      </c>
      <c r="G524" s="22">
        <v>0</v>
      </c>
      <c r="H524" s="22">
        <v>25</v>
      </c>
      <c r="I524" s="22">
        <v>0</v>
      </c>
      <c r="J524" s="22">
        <f>700+300</f>
        <v>1000</v>
      </c>
      <c r="K524" s="22">
        <f>F524*2.87%</f>
        <v>487.9</v>
      </c>
      <c r="L524" s="22">
        <f>F524*7.1%</f>
        <v>1207</v>
      </c>
      <c r="M524" s="22">
        <v>221</v>
      </c>
      <c r="N524" s="22">
        <v>516.79999999999995</v>
      </c>
      <c r="O524" s="22">
        <v>1205.3000000000002</v>
      </c>
      <c r="P524" s="22">
        <v>0</v>
      </c>
      <c r="Q524" s="21">
        <f>K524+N524</f>
        <v>1004.6999999999999</v>
      </c>
      <c r="R524" s="21">
        <f>G524+H524+I524+J524+K524+N524+P524</f>
        <v>2029.7</v>
      </c>
      <c r="S524" s="21">
        <f>L524+M524+O524</f>
        <v>2633.3</v>
      </c>
      <c r="T524" s="21">
        <f>F524-R524</f>
        <v>14970.3</v>
      </c>
      <c r="U524" s="24" t="s">
        <v>36</v>
      </c>
    </row>
    <row r="525" spans="1:21" ht="15.75" customHeight="1">
      <c r="A525" s="23">
        <v>510</v>
      </c>
      <c r="B525" s="23" t="s">
        <v>621</v>
      </c>
      <c r="C525" s="23" t="s">
        <v>88</v>
      </c>
      <c r="D525" s="23" t="s">
        <v>61</v>
      </c>
      <c r="E525" s="24" t="s">
        <v>29</v>
      </c>
      <c r="F525" s="21">
        <v>15000</v>
      </c>
      <c r="G525" s="22">
        <v>0</v>
      </c>
      <c r="H525" s="22">
        <v>25</v>
      </c>
      <c r="I525" s="22">
        <v>0</v>
      </c>
      <c r="J525" s="22">
        <v>0</v>
      </c>
      <c r="K525" s="22">
        <f>F525*2.87%</f>
        <v>430.5</v>
      </c>
      <c r="L525" s="22">
        <f>F525*7.1%</f>
        <v>1065</v>
      </c>
      <c r="M525" s="22">
        <v>195</v>
      </c>
      <c r="N525" s="22">
        <v>456</v>
      </c>
      <c r="O525" s="22">
        <v>1063.5</v>
      </c>
      <c r="P525" s="22">
        <v>0</v>
      </c>
      <c r="Q525" s="21">
        <f>K525+N525</f>
        <v>886.5</v>
      </c>
      <c r="R525" s="21">
        <f>G525+H525+I525+J525+K525+N525+P525</f>
        <v>911.5</v>
      </c>
      <c r="S525" s="21">
        <f>L525+M525+O525</f>
        <v>2323.5</v>
      </c>
      <c r="T525" s="21">
        <f>F525-R525</f>
        <v>14088.5</v>
      </c>
      <c r="U525" s="24" t="s">
        <v>30</v>
      </c>
    </row>
    <row r="526" spans="1:21" ht="15.75" customHeight="1">
      <c r="A526" s="19">
        <v>511</v>
      </c>
      <c r="B526" s="23" t="s">
        <v>622</v>
      </c>
      <c r="C526" s="23" t="s">
        <v>66</v>
      </c>
      <c r="D526" s="23" t="s">
        <v>470</v>
      </c>
      <c r="E526" s="24" t="s">
        <v>29</v>
      </c>
      <c r="F526" s="21">
        <v>25000</v>
      </c>
      <c r="G526" s="22">
        <v>0</v>
      </c>
      <c r="H526" s="22">
        <v>25</v>
      </c>
      <c r="I526" s="22">
        <v>0</v>
      </c>
      <c r="J526" s="22">
        <v>0</v>
      </c>
      <c r="K526" s="22">
        <f>F526*2.87%</f>
        <v>717.5</v>
      </c>
      <c r="L526" s="22">
        <f>F526*7.1%</f>
        <v>1774.9999999999998</v>
      </c>
      <c r="M526" s="22">
        <v>325</v>
      </c>
      <c r="N526" s="22">
        <v>760</v>
      </c>
      <c r="O526" s="22">
        <v>1772.5000000000002</v>
      </c>
      <c r="P526" s="22">
        <v>0</v>
      </c>
      <c r="Q526" s="21">
        <f>K526+N526</f>
        <v>1477.5</v>
      </c>
      <c r="R526" s="21">
        <f>G526+H526+I526+J526+K526+N526+P526</f>
        <v>1502.5</v>
      </c>
      <c r="S526" s="21">
        <f>L526+M526+O526</f>
        <v>3872.5</v>
      </c>
      <c r="T526" s="21">
        <f>F526-R526</f>
        <v>23497.5</v>
      </c>
      <c r="U526" s="24" t="s">
        <v>30</v>
      </c>
    </row>
    <row r="527" spans="1:21" ht="15.75" customHeight="1">
      <c r="A527" s="23">
        <v>512</v>
      </c>
      <c r="B527" s="23" t="s">
        <v>623</v>
      </c>
      <c r="C527" s="23" t="s">
        <v>51</v>
      </c>
      <c r="D527" s="23" t="s">
        <v>52</v>
      </c>
      <c r="E527" s="24" t="s">
        <v>29</v>
      </c>
      <c r="F527" s="21">
        <v>13000</v>
      </c>
      <c r="G527" s="22">
        <v>0</v>
      </c>
      <c r="H527" s="22">
        <v>25</v>
      </c>
      <c r="I527" s="22">
        <v>0</v>
      </c>
      <c r="J527" s="22">
        <v>0</v>
      </c>
      <c r="K527" s="22">
        <f>F527*2.87%</f>
        <v>373.1</v>
      </c>
      <c r="L527" s="22">
        <f>F527*7.1%</f>
        <v>922.99999999999989</v>
      </c>
      <c r="M527" s="22">
        <v>169</v>
      </c>
      <c r="N527" s="22">
        <v>395.2</v>
      </c>
      <c r="O527" s="22">
        <v>921.7</v>
      </c>
      <c r="P527" s="22">
        <v>0</v>
      </c>
      <c r="Q527" s="21">
        <f>K527+N527</f>
        <v>768.3</v>
      </c>
      <c r="R527" s="21">
        <f>G527+H527+I527+J527+K527+N527+P527</f>
        <v>793.3</v>
      </c>
      <c r="S527" s="21">
        <f>L527+M527+O527</f>
        <v>2013.7</v>
      </c>
      <c r="T527" s="21">
        <f>F527-R527</f>
        <v>12206.7</v>
      </c>
      <c r="U527" s="24" t="s">
        <v>30</v>
      </c>
    </row>
    <row r="528" spans="1:21" ht="15.75" customHeight="1">
      <c r="A528" s="23">
        <v>513</v>
      </c>
      <c r="B528" s="23" t="s">
        <v>624</v>
      </c>
      <c r="C528" s="23" t="s">
        <v>358</v>
      </c>
      <c r="D528" s="23" t="s">
        <v>78</v>
      </c>
      <c r="E528" s="24" t="s">
        <v>29</v>
      </c>
      <c r="F528" s="21">
        <v>10000</v>
      </c>
      <c r="G528" s="22">
        <v>0</v>
      </c>
      <c r="H528" s="22">
        <v>25</v>
      </c>
      <c r="I528" s="22">
        <v>0</v>
      </c>
      <c r="J528" s="22">
        <v>0</v>
      </c>
      <c r="K528" s="22">
        <f>F528*2.87%</f>
        <v>287</v>
      </c>
      <c r="L528" s="22">
        <f>F528*7.1%</f>
        <v>709.99999999999989</v>
      </c>
      <c r="M528" s="22">
        <v>130</v>
      </c>
      <c r="N528" s="22">
        <v>304</v>
      </c>
      <c r="O528" s="22">
        <v>709</v>
      </c>
      <c r="P528" s="22">
        <v>0</v>
      </c>
      <c r="Q528" s="21">
        <f>K528+N528</f>
        <v>591</v>
      </c>
      <c r="R528" s="21">
        <f>G528+H528+I528+J528+K528+N528+P528</f>
        <v>616</v>
      </c>
      <c r="S528" s="21">
        <f>L528+M528+O528</f>
        <v>1549</v>
      </c>
      <c r="T528" s="21">
        <f>F528-R528</f>
        <v>9384</v>
      </c>
      <c r="U528" s="24" t="s">
        <v>30</v>
      </c>
    </row>
    <row r="529" spans="1:21" ht="15.75" customHeight="1">
      <c r="A529" s="19">
        <v>514</v>
      </c>
      <c r="B529" s="23" t="s">
        <v>625</v>
      </c>
      <c r="C529" s="23" t="s">
        <v>68</v>
      </c>
      <c r="D529" s="23" t="s">
        <v>86</v>
      </c>
      <c r="E529" s="24" t="s">
        <v>29</v>
      </c>
      <c r="F529" s="21">
        <v>20000</v>
      </c>
      <c r="G529" s="22">
        <v>0</v>
      </c>
      <c r="H529" s="22">
        <v>25</v>
      </c>
      <c r="I529" s="22">
        <v>0</v>
      </c>
      <c r="J529" s="22">
        <v>0</v>
      </c>
      <c r="K529" s="22">
        <f>F529*2.87%</f>
        <v>574</v>
      </c>
      <c r="L529" s="22">
        <f>F529*7.1%</f>
        <v>1419.9999999999998</v>
      </c>
      <c r="M529" s="22">
        <v>260</v>
      </c>
      <c r="N529" s="22">
        <v>608</v>
      </c>
      <c r="O529" s="22">
        <v>1418</v>
      </c>
      <c r="P529" s="22">
        <v>1587.38</v>
      </c>
      <c r="Q529" s="21">
        <f>K529+N529</f>
        <v>1182</v>
      </c>
      <c r="R529" s="21">
        <f>G529+H529+I529+J529+K529+N529+P529</f>
        <v>2794.38</v>
      </c>
      <c r="S529" s="21">
        <f>L529+M529+O529</f>
        <v>3098</v>
      </c>
      <c r="T529" s="21">
        <f>F529-R529</f>
        <v>17205.62</v>
      </c>
      <c r="U529" s="24" t="s">
        <v>30</v>
      </c>
    </row>
    <row r="530" spans="1:21" ht="15.75" customHeight="1">
      <c r="A530" s="23">
        <v>515</v>
      </c>
      <c r="B530" s="23" t="s">
        <v>626</v>
      </c>
      <c r="C530" s="23" t="s">
        <v>57</v>
      </c>
      <c r="D530" s="23" t="s">
        <v>58</v>
      </c>
      <c r="E530" s="24" t="s">
        <v>29</v>
      </c>
      <c r="F530" s="21">
        <v>15000</v>
      </c>
      <c r="G530" s="22">
        <v>0</v>
      </c>
      <c r="H530" s="22">
        <v>25</v>
      </c>
      <c r="I530" s="22">
        <v>0</v>
      </c>
      <c r="J530" s="22">
        <v>0</v>
      </c>
      <c r="K530" s="22">
        <f>F530*2.87%</f>
        <v>430.5</v>
      </c>
      <c r="L530" s="22">
        <f>F530*7.1%</f>
        <v>1065</v>
      </c>
      <c r="M530" s="22">
        <v>195</v>
      </c>
      <c r="N530" s="22">
        <v>456</v>
      </c>
      <c r="O530" s="22">
        <v>1063.5</v>
      </c>
      <c r="P530" s="22">
        <v>0</v>
      </c>
      <c r="Q530" s="21">
        <f>K530+N530</f>
        <v>886.5</v>
      </c>
      <c r="R530" s="21">
        <f>G530+H530+I530+J530+K530+N530+P530</f>
        <v>911.5</v>
      </c>
      <c r="S530" s="21">
        <f>L530+M530+O530</f>
        <v>2323.5</v>
      </c>
      <c r="T530" s="21">
        <f>F530-R530</f>
        <v>14088.5</v>
      </c>
      <c r="U530" s="24" t="s">
        <v>30</v>
      </c>
    </row>
    <row r="531" spans="1:21" ht="15.75" customHeight="1">
      <c r="A531" s="23">
        <v>516</v>
      </c>
      <c r="B531" s="23" t="s">
        <v>627</v>
      </c>
      <c r="C531" s="23" t="s">
        <v>88</v>
      </c>
      <c r="D531" s="23" t="s">
        <v>61</v>
      </c>
      <c r="E531" s="24" t="s">
        <v>29</v>
      </c>
      <c r="F531" s="21">
        <v>15000</v>
      </c>
      <c r="G531" s="22">
        <v>0</v>
      </c>
      <c r="H531" s="22">
        <v>25</v>
      </c>
      <c r="I531" s="22">
        <v>0</v>
      </c>
      <c r="J531" s="22">
        <v>0</v>
      </c>
      <c r="K531" s="22">
        <f>F531*2.87%</f>
        <v>430.5</v>
      </c>
      <c r="L531" s="22">
        <f>F531*7.1%</f>
        <v>1065</v>
      </c>
      <c r="M531" s="22">
        <v>195</v>
      </c>
      <c r="N531" s="22">
        <v>456</v>
      </c>
      <c r="O531" s="22">
        <v>1063.5</v>
      </c>
      <c r="P531" s="22">
        <v>0</v>
      </c>
      <c r="Q531" s="21">
        <f>K531+N531</f>
        <v>886.5</v>
      </c>
      <c r="R531" s="21">
        <f>G531+H531+I531+J531+K531+N531+P531</f>
        <v>911.5</v>
      </c>
      <c r="S531" s="21">
        <f>L531+M531+O531</f>
        <v>2323.5</v>
      </c>
      <c r="T531" s="21">
        <f>F531-R531</f>
        <v>14088.5</v>
      </c>
      <c r="U531" s="24" t="s">
        <v>30</v>
      </c>
    </row>
    <row r="532" spans="1:21" ht="15.75" customHeight="1">
      <c r="A532" s="19">
        <v>517</v>
      </c>
      <c r="B532" s="23" t="s">
        <v>628</v>
      </c>
      <c r="C532" s="23" t="s">
        <v>63</v>
      </c>
      <c r="D532" s="23" t="s">
        <v>98</v>
      </c>
      <c r="E532" s="24" t="s">
        <v>29</v>
      </c>
      <c r="F532" s="21">
        <v>20000</v>
      </c>
      <c r="G532" s="22">
        <v>0</v>
      </c>
      <c r="H532" s="22">
        <v>25</v>
      </c>
      <c r="I532" s="22">
        <v>0</v>
      </c>
      <c r="J532" s="22">
        <v>0</v>
      </c>
      <c r="K532" s="22">
        <f>F532*2.87%</f>
        <v>574</v>
      </c>
      <c r="L532" s="22">
        <f>F532*7.1%</f>
        <v>1419.9999999999998</v>
      </c>
      <c r="M532" s="22">
        <v>260</v>
      </c>
      <c r="N532" s="22">
        <v>608</v>
      </c>
      <c r="O532" s="22">
        <v>1418</v>
      </c>
      <c r="P532" s="22">
        <v>0</v>
      </c>
      <c r="Q532" s="21">
        <f>K532+N532</f>
        <v>1182</v>
      </c>
      <c r="R532" s="21">
        <f>G532+H532+I532+J532+K532+N532+P532</f>
        <v>1207</v>
      </c>
      <c r="S532" s="21">
        <f>L532+M532+O532</f>
        <v>3098</v>
      </c>
      <c r="T532" s="21">
        <f>F532-R532</f>
        <v>18793</v>
      </c>
      <c r="U532" s="24" t="s">
        <v>30</v>
      </c>
    </row>
    <row r="533" spans="1:21" ht="15.75" customHeight="1">
      <c r="A533" s="23">
        <v>518</v>
      </c>
      <c r="B533" s="23" t="s">
        <v>629</v>
      </c>
      <c r="C533" s="23" t="s">
        <v>358</v>
      </c>
      <c r="D533" s="23" t="s">
        <v>78</v>
      </c>
      <c r="E533" s="24" t="s">
        <v>29</v>
      </c>
      <c r="F533" s="21">
        <v>10000</v>
      </c>
      <c r="G533" s="22">
        <v>0</v>
      </c>
      <c r="H533" s="22">
        <v>25</v>
      </c>
      <c r="I533" s="22">
        <v>0</v>
      </c>
      <c r="J533" s="22">
        <v>0</v>
      </c>
      <c r="K533" s="22">
        <f>F533*2.87%</f>
        <v>287</v>
      </c>
      <c r="L533" s="22">
        <f>F533*7.1%</f>
        <v>709.99999999999989</v>
      </c>
      <c r="M533" s="22">
        <v>130</v>
      </c>
      <c r="N533" s="22">
        <v>304</v>
      </c>
      <c r="O533" s="22">
        <v>709</v>
      </c>
      <c r="P533" s="22">
        <v>0</v>
      </c>
      <c r="Q533" s="21">
        <f>K533+N533</f>
        <v>591</v>
      </c>
      <c r="R533" s="21">
        <f>G533+H533+I533+J533+K533+N533+P533</f>
        <v>616</v>
      </c>
      <c r="S533" s="21">
        <f>L533+M533+O533</f>
        <v>1549</v>
      </c>
      <c r="T533" s="21">
        <f>F533-R533</f>
        <v>9384</v>
      </c>
      <c r="U533" s="24" t="s">
        <v>30</v>
      </c>
    </row>
    <row r="534" spans="1:21" ht="15.75" customHeight="1">
      <c r="A534" s="23">
        <v>519</v>
      </c>
      <c r="B534" s="23" t="s">
        <v>630</v>
      </c>
      <c r="C534" s="23" t="s">
        <v>60</v>
      </c>
      <c r="D534" s="23" t="s">
        <v>58</v>
      </c>
      <c r="E534" s="24" t="s">
        <v>29</v>
      </c>
      <c r="F534" s="21">
        <v>30000</v>
      </c>
      <c r="G534" s="22">
        <v>0</v>
      </c>
      <c r="H534" s="22">
        <v>25</v>
      </c>
      <c r="I534" s="22">
        <v>0</v>
      </c>
      <c r="J534" s="22">
        <f>1000+300</f>
        <v>1300</v>
      </c>
      <c r="K534" s="22">
        <f>F534*2.87%</f>
        <v>861</v>
      </c>
      <c r="L534" s="22">
        <f>F534*7.1%</f>
        <v>2130</v>
      </c>
      <c r="M534" s="22">
        <v>390</v>
      </c>
      <c r="N534" s="22">
        <v>912</v>
      </c>
      <c r="O534" s="22">
        <v>2127</v>
      </c>
      <c r="P534" s="22">
        <v>1587.38</v>
      </c>
      <c r="Q534" s="21">
        <f>K534+N534</f>
        <v>1773</v>
      </c>
      <c r="R534" s="21">
        <f>G534+H534+I534+J534+K534+N534+P534</f>
        <v>4685.38</v>
      </c>
      <c r="S534" s="21">
        <f>L534+M534+O534</f>
        <v>4647</v>
      </c>
      <c r="T534" s="21">
        <f>F534-R534</f>
        <v>25314.62</v>
      </c>
      <c r="U534" s="24" t="s">
        <v>30</v>
      </c>
    </row>
    <row r="535" spans="1:21" ht="15.75" customHeight="1">
      <c r="A535" s="19">
        <v>520</v>
      </c>
      <c r="B535" s="23" t="s">
        <v>631</v>
      </c>
      <c r="C535" s="23" t="s">
        <v>68</v>
      </c>
      <c r="D535" s="23" t="s">
        <v>41</v>
      </c>
      <c r="E535" s="24" t="s">
        <v>29</v>
      </c>
      <c r="F535" s="21">
        <v>30000</v>
      </c>
      <c r="G535" s="22">
        <v>0</v>
      </c>
      <c r="H535" s="22">
        <v>25</v>
      </c>
      <c r="I535" s="22">
        <v>0</v>
      </c>
      <c r="J535" s="22">
        <v>0</v>
      </c>
      <c r="K535" s="22">
        <f>F535*2.87%</f>
        <v>861</v>
      </c>
      <c r="L535" s="22">
        <f>F535*7.1%</f>
        <v>2130</v>
      </c>
      <c r="M535" s="22">
        <v>390</v>
      </c>
      <c r="N535" s="22">
        <v>912</v>
      </c>
      <c r="O535" s="22">
        <v>2127</v>
      </c>
      <c r="P535" s="22">
        <v>0</v>
      </c>
      <c r="Q535" s="21">
        <f>K535+N535</f>
        <v>1773</v>
      </c>
      <c r="R535" s="21">
        <f>G535+H535+I535+J535+K535+N535+P535</f>
        <v>1798</v>
      </c>
      <c r="S535" s="21">
        <f>L535+M535+O535</f>
        <v>4647</v>
      </c>
      <c r="T535" s="21">
        <f>F535-R535</f>
        <v>28202</v>
      </c>
      <c r="U535" s="24" t="s">
        <v>30</v>
      </c>
    </row>
    <row r="536" spans="1:21" ht="15.75" customHeight="1">
      <c r="A536" s="23">
        <v>521</v>
      </c>
      <c r="B536" s="23" t="s">
        <v>632</v>
      </c>
      <c r="C536" s="23" t="s">
        <v>57</v>
      </c>
      <c r="D536" s="23" t="s">
        <v>58</v>
      </c>
      <c r="E536" s="24" t="s">
        <v>29</v>
      </c>
      <c r="F536" s="21">
        <v>15000</v>
      </c>
      <c r="G536" s="22">
        <v>0</v>
      </c>
      <c r="H536" s="22">
        <v>25</v>
      </c>
      <c r="I536" s="22">
        <v>0</v>
      </c>
      <c r="J536" s="22">
        <v>0</v>
      </c>
      <c r="K536" s="22">
        <f>F536*2.87%</f>
        <v>430.5</v>
      </c>
      <c r="L536" s="22">
        <f>F536*7.1%</f>
        <v>1065</v>
      </c>
      <c r="M536" s="22">
        <v>195</v>
      </c>
      <c r="N536" s="22">
        <v>456</v>
      </c>
      <c r="O536" s="22">
        <v>1063.5</v>
      </c>
      <c r="P536" s="22">
        <v>0</v>
      </c>
      <c r="Q536" s="21">
        <f>K536+N536</f>
        <v>886.5</v>
      </c>
      <c r="R536" s="21">
        <f>G536+H536+I536+J536+K536+N536+P536</f>
        <v>911.5</v>
      </c>
      <c r="S536" s="21">
        <f>L536+M536+O536</f>
        <v>2323.5</v>
      </c>
      <c r="T536" s="21">
        <f>F536-R536</f>
        <v>14088.5</v>
      </c>
      <c r="U536" s="24" t="s">
        <v>30</v>
      </c>
    </row>
    <row r="537" spans="1:21" ht="15.75" customHeight="1">
      <c r="A537" s="23">
        <v>522</v>
      </c>
      <c r="B537" s="23" t="s">
        <v>633</v>
      </c>
      <c r="C537" s="23" t="s">
        <v>358</v>
      </c>
      <c r="D537" s="23" t="s">
        <v>78</v>
      </c>
      <c r="E537" s="24" t="s">
        <v>29</v>
      </c>
      <c r="F537" s="21">
        <v>10000</v>
      </c>
      <c r="G537" s="22">
        <v>0</v>
      </c>
      <c r="H537" s="22">
        <v>25</v>
      </c>
      <c r="I537" s="22">
        <v>0</v>
      </c>
      <c r="J537" s="22">
        <v>0</v>
      </c>
      <c r="K537" s="22">
        <f>F537*2.87%</f>
        <v>287</v>
      </c>
      <c r="L537" s="22">
        <f>F537*7.1%</f>
        <v>709.99999999999989</v>
      </c>
      <c r="M537" s="22">
        <v>130</v>
      </c>
      <c r="N537" s="22">
        <v>304</v>
      </c>
      <c r="O537" s="22">
        <v>709</v>
      </c>
      <c r="P537" s="22">
        <v>0</v>
      </c>
      <c r="Q537" s="21">
        <f>K537+N537</f>
        <v>591</v>
      </c>
      <c r="R537" s="21">
        <f>G537+H537+I537+J537+K537+N537+P537</f>
        <v>616</v>
      </c>
      <c r="S537" s="21">
        <f>L537+M537+O537</f>
        <v>1549</v>
      </c>
      <c r="T537" s="21">
        <f>F537-R537</f>
        <v>9384</v>
      </c>
      <c r="U537" s="24" t="s">
        <v>30</v>
      </c>
    </row>
    <row r="538" spans="1:21" ht="15.75" customHeight="1">
      <c r="A538" s="19">
        <v>523</v>
      </c>
      <c r="B538" s="23" t="s">
        <v>634</v>
      </c>
      <c r="C538" s="23" t="s">
        <v>48</v>
      </c>
      <c r="D538" s="23" t="s">
        <v>52</v>
      </c>
      <c r="E538" s="24" t="s">
        <v>29</v>
      </c>
      <c r="F538" s="21">
        <v>30000</v>
      </c>
      <c r="G538" s="22">
        <v>0</v>
      </c>
      <c r="H538" s="22">
        <v>25</v>
      </c>
      <c r="I538" s="22">
        <v>0</v>
      </c>
      <c r="J538" s="22">
        <v>0</v>
      </c>
      <c r="K538" s="22">
        <f>F538*2.87%</f>
        <v>861</v>
      </c>
      <c r="L538" s="22">
        <f>F538*7.1%</f>
        <v>2130</v>
      </c>
      <c r="M538" s="22">
        <v>390</v>
      </c>
      <c r="N538" s="22">
        <v>912</v>
      </c>
      <c r="O538" s="22">
        <v>2127</v>
      </c>
      <c r="P538" s="22">
        <v>0</v>
      </c>
      <c r="Q538" s="21">
        <f>K538+N538</f>
        <v>1773</v>
      </c>
      <c r="R538" s="21">
        <f>G538+H538+I538+J538+K538+N538+P538</f>
        <v>1798</v>
      </c>
      <c r="S538" s="21">
        <f>L538+M538+O538</f>
        <v>4647</v>
      </c>
      <c r="T538" s="21">
        <f>F538-R538</f>
        <v>28202</v>
      </c>
      <c r="U538" s="24" t="s">
        <v>36</v>
      </c>
    </row>
    <row r="539" spans="1:21" ht="15.75" customHeight="1">
      <c r="A539" s="23">
        <v>524</v>
      </c>
      <c r="B539" s="23" t="s">
        <v>635</v>
      </c>
      <c r="C539" s="23" t="s">
        <v>77</v>
      </c>
      <c r="D539" s="23" t="s">
        <v>58</v>
      </c>
      <c r="E539" s="24" t="s">
        <v>317</v>
      </c>
      <c r="F539" s="21">
        <v>10000</v>
      </c>
      <c r="G539" s="22">
        <v>0</v>
      </c>
      <c r="H539" s="22">
        <v>25</v>
      </c>
      <c r="I539" s="22">
        <v>0</v>
      </c>
      <c r="J539" s="22">
        <v>0</v>
      </c>
      <c r="K539" s="22">
        <f>F539*2.87%</f>
        <v>287</v>
      </c>
      <c r="L539" s="22">
        <f>F539*7.1%</f>
        <v>709.99999999999989</v>
      </c>
      <c r="M539" s="22">
        <v>130</v>
      </c>
      <c r="N539" s="22">
        <v>304</v>
      </c>
      <c r="O539" s="22">
        <v>709</v>
      </c>
      <c r="P539" s="22">
        <v>0</v>
      </c>
      <c r="Q539" s="21">
        <f>K539+N539</f>
        <v>591</v>
      </c>
      <c r="R539" s="21">
        <f>G539+H539+I539+J539+K539+N539+P539</f>
        <v>616</v>
      </c>
      <c r="S539" s="21">
        <f>L539+M539+O539</f>
        <v>1549</v>
      </c>
      <c r="T539" s="21">
        <f>F539-R539</f>
        <v>9384</v>
      </c>
      <c r="U539" s="24" t="s">
        <v>30</v>
      </c>
    </row>
    <row r="540" spans="1:21" ht="15.75" customHeight="1">
      <c r="A540" s="23">
        <v>525</v>
      </c>
      <c r="B540" s="23" t="s">
        <v>748</v>
      </c>
      <c r="C540" s="23" t="s">
        <v>77</v>
      </c>
      <c r="D540" s="23" t="s">
        <v>61</v>
      </c>
      <c r="E540" s="24" t="s">
        <v>29</v>
      </c>
      <c r="F540" s="21">
        <v>15000</v>
      </c>
      <c r="G540" s="22">
        <v>0</v>
      </c>
      <c r="H540" s="22">
        <v>25</v>
      </c>
      <c r="I540" s="22">
        <v>0</v>
      </c>
      <c r="J540" s="22">
        <v>0</v>
      </c>
      <c r="K540" s="22">
        <f>F540*2.87%</f>
        <v>430.5</v>
      </c>
      <c r="L540" s="22">
        <f>F540*7.1%</f>
        <v>1065</v>
      </c>
      <c r="M540" s="22">
        <v>195</v>
      </c>
      <c r="N540" s="22">
        <v>456</v>
      </c>
      <c r="O540" s="22">
        <v>1063.5</v>
      </c>
      <c r="P540" s="22">
        <v>0</v>
      </c>
      <c r="Q540" s="21">
        <f>K540+N540</f>
        <v>886.5</v>
      </c>
      <c r="R540" s="21">
        <f>G540+H540+I540+J540+K540+N540+P540</f>
        <v>911.5</v>
      </c>
      <c r="S540" s="21">
        <f>L540+M540+O540</f>
        <v>2323.5</v>
      </c>
      <c r="T540" s="21">
        <f>F540-R540</f>
        <v>14088.5</v>
      </c>
      <c r="U540" s="24" t="s">
        <v>30</v>
      </c>
    </row>
    <row r="541" spans="1:21" ht="15.75" customHeight="1">
      <c r="A541" s="19">
        <v>526</v>
      </c>
      <c r="B541" s="23" t="s">
        <v>636</v>
      </c>
      <c r="C541" s="23" t="s">
        <v>637</v>
      </c>
      <c r="D541" s="23" t="s">
        <v>571</v>
      </c>
      <c r="E541" s="24" t="s">
        <v>29</v>
      </c>
      <c r="F541" s="21">
        <v>50000</v>
      </c>
      <c r="G541" s="22">
        <v>1615.89</v>
      </c>
      <c r="H541" s="22">
        <v>25</v>
      </c>
      <c r="I541" s="22">
        <v>0</v>
      </c>
      <c r="J541" s="22">
        <f>300+2111.28</f>
        <v>2411.2800000000002</v>
      </c>
      <c r="K541" s="22">
        <f>F541*2.87%</f>
        <v>1435</v>
      </c>
      <c r="L541" s="22">
        <f>F541*7.1%</f>
        <v>3549.9999999999995</v>
      </c>
      <c r="M541" s="22">
        <v>650</v>
      </c>
      <c r="N541" s="22">
        <v>1520</v>
      </c>
      <c r="O541" s="22">
        <v>3545.0000000000005</v>
      </c>
      <c r="P541" s="21">
        <v>1587.38</v>
      </c>
      <c r="Q541" s="21">
        <f>K541+N541</f>
        <v>2955</v>
      </c>
      <c r="R541" s="21">
        <f>G541+H541+I541+J541+K541+N541+P541</f>
        <v>8594.5499999999993</v>
      </c>
      <c r="S541" s="21">
        <f>L541+M541+O541</f>
        <v>7745</v>
      </c>
      <c r="T541" s="21">
        <f>F541-R541</f>
        <v>41405.449999999997</v>
      </c>
      <c r="U541" s="24" t="s">
        <v>30</v>
      </c>
    </row>
    <row r="542" spans="1:21" ht="15.75" customHeight="1">
      <c r="A542" s="23">
        <v>527</v>
      </c>
      <c r="B542" s="23" t="s">
        <v>638</v>
      </c>
      <c r="C542" s="23" t="s">
        <v>176</v>
      </c>
      <c r="D542" s="23" t="s">
        <v>28</v>
      </c>
      <c r="E542" s="24" t="s">
        <v>317</v>
      </c>
      <c r="F542" s="21">
        <v>10000</v>
      </c>
      <c r="G542" s="22">
        <v>0</v>
      </c>
      <c r="H542" s="22">
        <v>25</v>
      </c>
      <c r="I542" s="22">
        <v>0</v>
      </c>
      <c r="J542" s="22">
        <v>0</v>
      </c>
      <c r="K542" s="22">
        <f>F542*2.87%</f>
        <v>287</v>
      </c>
      <c r="L542" s="22">
        <f>F542*7.1%</f>
        <v>709.99999999999989</v>
      </c>
      <c r="M542" s="22">
        <v>130</v>
      </c>
      <c r="N542" s="22">
        <v>304</v>
      </c>
      <c r="O542" s="22">
        <v>709</v>
      </c>
      <c r="P542" s="22">
        <v>0</v>
      </c>
      <c r="Q542" s="21">
        <f>K542+N542</f>
        <v>591</v>
      </c>
      <c r="R542" s="21">
        <f>G542+H542+I542+J542+K542+N542+P542</f>
        <v>616</v>
      </c>
      <c r="S542" s="21">
        <f>L542+M542+O542</f>
        <v>1549</v>
      </c>
      <c r="T542" s="21">
        <f>F542-R542</f>
        <v>9384</v>
      </c>
      <c r="U542" s="24" t="s">
        <v>30</v>
      </c>
    </row>
    <row r="543" spans="1:21" ht="15.75" customHeight="1">
      <c r="A543" s="23">
        <v>528</v>
      </c>
      <c r="B543" s="23" t="s">
        <v>639</v>
      </c>
      <c r="C543" s="23" t="s">
        <v>88</v>
      </c>
      <c r="D543" s="23" t="s">
        <v>61</v>
      </c>
      <c r="E543" s="24" t="s">
        <v>29</v>
      </c>
      <c r="F543" s="21">
        <v>15000</v>
      </c>
      <c r="G543" s="22">
        <v>0</v>
      </c>
      <c r="H543" s="22">
        <v>25</v>
      </c>
      <c r="I543" s="22">
        <v>0</v>
      </c>
      <c r="J543" s="22">
        <v>0</v>
      </c>
      <c r="K543" s="22">
        <f>F543*2.87%</f>
        <v>430.5</v>
      </c>
      <c r="L543" s="22">
        <f>F543*7.1%</f>
        <v>1065</v>
      </c>
      <c r="M543" s="22">
        <v>195</v>
      </c>
      <c r="N543" s="22">
        <v>456</v>
      </c>
      <c r="O543" s="22">
        <v>1063.5</v>
      </c>
      <c r="P543" s="22">
        <v>0</v>
      </c>
      <c r="Q543" s="21">
        <f>K543+N543</f>
        <v>886.5</v>
      </c>
      <c r="R543" s="21">
        <f>G543+H543+I543+J543+K543+N543+P543</f>
        <v>911.5</v>
      </c>
      <c r="S543" s="21">
        <f>L543+M543+O543</f>
        <v>2323.5</v>
      </c>
      <c r="T543" s="21">
        <f>F543-R543</f>
        <v>14088.5</v>
      </c>
      <c r="U543" s="24" t="s">
        <v>30</v>
      </c>
    </row>
    <row r="544" spans="1:21" ht="15.75" customHeight="1">
      <c r="A544" s="19">
        <v>529</v>
      </c>
      <c r="B544" s="23" t="s">
        <v>640</v>
      </c>
      <c r="C544" s="23" t="s">
        <v>68</v>
      </c>
      <c r="D544" s="23" t="s">
        <v>81</v>
      </c>
      <c r="E544" s="24" t="s">
        <v>29</v>
      </c>
      <c r="F544" s="21">
        <v>25000</v>
      </c>
      <c r="G544" s="22">
        <v>0</v>
      </c>
      <c r="H544" s="22">
        <v>25</v>
      </c>
      <c r="I544" s="22">
        <v>0</v>
      </c>
      <c r="J544" s="22">
        <v>0</v>
      </c>
      <c r="K544" s="22">
        <f>F544*2.87%</f>
        <v>717.5</v>
      </c>
      <c r="L544" s="22">
        <f>F544*7.1%</f>
        <v>1774.9999999999998</v>
      </c>
      <c r="M544" s="22">
        <v>325</v>
      </c>
      <c r="N544" s="22">
        <v>760</v>
      </c>
      <c r="O544" s="22">
        <v>1772.5000000000002</v>
      </c>
      <c r="P544" s="22">
        <v>0</v>
      </c>
      <c r="Q544" s="21">
        <f>K544+N544</f>
        <v>1477.5</v>
      </c>
      <c r="R544" s="21">
        <f>G544+H544+I544+J544+K544+N544+P544</f>
        <v>1502.5</v>
      </c>
      <c r="S544" s="21">
        <f>L544+M544+O544</f>
        <v>3872.5</v>
      </c>
      <c r="T544" s="21">
        <f>F544-R544</f>
        <v>23497.5</v>
      </c>
      <c r="U544" s="24" t="s">
        <v>30</v>
      </c>
    </row>
    <row r="545" spans="1:21" ht="15.75" customHeight="1">
      <c r="A545" s="23">
        <v>530</v>
      </c>
      <c r="B545" s="23" t="s">
        <v>641</v>
      </c>
      <c r="C545" s="23" t="s">
        <v>88</v>
      </c>
      <c r="D545" s="23" t="s">
        <v>58</v>
      </c>
      <c r="E545" s="24" t="s">
        <v>29</v>
      </c>
      <c r="F545" s="21">
        <v>12000</v>
      </c>
      <c r="G545" s="22">
        <v>0</v>
      </c>
      <c r="H545" s="22">
        <v>25</v>
      </c>
      <c r="I545" s="22">
        <v>0</v>
      </c>
      <c r="J545" s="22">
        <f>500+500+1555.83</f>
        <v>2555.83</v>
      </c>
      <c r="K545" s="22">
        <f>F545*2.87%</f>
        <v>344.4</v>
      </c>
      <c r="L545" s="22">
        <f>F545*7.1%</f>
        <v>851.99999999999989</v>
      </c>
      <c r="M545" s="22">
        <v>156</v>
      </c>
      <c r="N545" s="22">
        <v>364.8</v>
      </c>
      <c r="O545" s="22">
        <v>850.80000000000007</v>
      </c>
      <c r="P545" s="22">
        <v>0</v>
      </c>
      <c r="Q545" s="21">
        <f>K545+N545</f>
        <v>709.2</v>
      </c>
      <c r="R545" s="21">
        <f>G545+H545+I545+J545+K545+N545+P545</f>
        <v>3290.03</v>
      </c>
      <c r="S545" s="21">
        <f>L545+M545+O545</f>
        <v>1858.8</v>
      </c>
      <c r="T545" s="21">
        <f>F545-R545</f>
        <v>8709.9699999999993</v>
      </c>
      <c r="U545" s="24" t="s">
        <v>36</v>
      </c>
    </row>
    <row r="546" spans="1:21" ht="15.75" customHeight="1">
      <c r="A546" s="23">
        <v>531</v>
      </c>
      <c r="B546" s="23" t="s">
        <v>642</v>
      </c>
      <c r="C546" s="23" t="s">
        <v>201</v>
      </c>
      <c r="D546" s="23" t="s">
        <v>72</v>
      </c>
      <c r="E546" s="24" t="s">
        <v>29</v>
      </c>
      <c r="F546" s="21">
        <v>15000</v>
      </c>
      <c r="G546" s="22">
        <v>0</v>
      </c>
      <c r="H546" s="22">
        <v>25</v>
      </c>
      <c r="I546" s="22">
        <v>0</v>
      </c>
      <c r="J546" s="22">
        <v>0</v>
      </c>
      <c r="K546" s="22">
        <f>F546*2.87%</f>
        <v>430.5</v>
      </c>
      <c r="L546" s="22">
        <f>F546*7.1%</f>
        <v>1065</v>
      </c>
      <c r="M546" s="22">
        <v>195</v>
      </c>
      <c r="N546" s="22">
        <v>456</v>
      </c>
      <c r="O546" s="22">
        <v>1063.5</v>
      </c>
      <c r="P546" s="22">
        <v>0</v>
      </c>
      <c r="Q546" s="21">
        <f>K546+N546</f>
        <v>886.5</v>
      </c>
      <c r="R546" s="21">
        <f>G546+H546+I546+J546+K546+N546+P546</f>
        <v>911.5</v>
      </c>
      <c r="S546" s="21">
        <f>L546+M546+O546</f>
        <v>2323.5</v>
      </c>
      <c r="T546" s="21">
        <f>F546-R546</f>
        <v>14088.5</v>
      </c>
      <c r="U546" s="24" t="s">
        <v>36</v>
      </c>
    </row>
    <row r="547" spans="1:21" ht="15.75" customHeight="1">
      <c r="A547" s="19">
        <v>532</v>
      </c>
      <c r="B547" s="23" t="s">
        <v>643</v>
      </c>
      <c r="C547" s="23" t="s">
        <v>68</v>
      </c>
      <c r="D547" s="23" t="s">
        <v>98</v>
      </c>
      <c r="E547" s="24" t="s">
        <v>29</v>
      </c>
      <c r="F547" s="21">
        <v>30000</v>
      </c>
      <c r="G547" s="22">
        <v>0</v>
      </c>
      <c r="H547" s="22">
        <v>25</v>
      </c>
      <c r="I547" s="22">
        <v>0</v>
      </c>
      <c r="J547" s="22">
        <v>0</v>
      </c>
      <c r="K547" s="22">
        <f>F547*2.87%</f>
        <v>861</v>
      </c>
      <c r="L547" s="22">
        <f>F547*7.1%</f>
        <v>2130</v>
      </c>
      <c r="M547" s="22">
        <v>390</v>
      </c>
      <c r="N547" s="22">
        <v>912</v>
      </c>
      <c r="O547" s="22">
        <v>2127</v>
      </c>
      <c r="P547" s="22">
        <v>0</v>
      </c>
      <c r="Q547" s="21">
        <f>K547+N547</f>
        <v>1773</v>
      </c>
      <c r="R547" s="21">
        <f>G547+H547+I547+J547+K547+N547+P547</f>
        <v>1798</v>
      </c>
      <c r="S547" s="21">
        <f>L547+M547+O547</f>
        <v>4647</v>
      </c>
      <c r="T547" s="21">
        <f>F547-R547</f>
        <v>28202</v>
      </c>
      <c r="U547" s="24" t="s">
        <v>36</v>
      </c>
    </row>
    <row r="548" spans="1:21" ht="15.75" customHeight="1">
      <c r="A548" s="23">
        <v>533</v>
      </c>
      <c r="B548" s="23" t="s">
        <v>644</v>
      </c>
      <c r="C548" s="23" t="s">
        <v>68</v>
      </c>
      <c r="D548" s="23" t="s">
        <v>81</v>
      </c>
      <c r="E548" s="24" t="s">
        <v>29</v>
      </c>
      <c r="F548" s="21">
        <v>20000</v>
      </c>
      <c r="G548" s="22">
        <v>0</v>
      </c>
      <c r="H548" s="22">
        <v>25</v>
      </c>
      <c r="I548" s="22">
        <v>0</v>
      </c>
      <c r="J548" s="22">
        <v>0</v>
      </c>
      <c r="K548" s="22">
        <f>F548*2.87%</f>
        <v>574</v>
      </c>
      <c r="L548" s="22">
        <f>F548*7.1%</f>
        <v>1419.9999999999998</v>
      </c>
      <c r="M548" s="22">
        <v>260</v>
      </c>
      <c r="N548" s="22">
        <v>608</v>
      </c>
      <c r="O548" s="22">
        <v>1418</v>
      </c>
      <c r="P548" s="21">
        <v>1587.38</v>
      </c>
      <c r="Q548" s="21">
        <f>K548+N548</f>
        <v>1182</v>
      </c>
      <c r="R548" s="21">
        <f>G548+H548+I548+J548+K548+N548+P548</f>
        <v>2794.38</v>
      </c>
      <c r="S548" s="21">
        <f>L548+M548+O548</f>
        <v>3098</v>
      </c>
      <c r="T548" s="21">
        <f>F548-R548</f>
        <v>17205.62</v>
      </c>
      <c r="U548" s="24" t="s">
        <v>36</v>
      </c>
    </row>
    <row r="549" spans="1:21" ht="15.75" customHeight="1">
      <c r="A549" s="23">
        <v>534</v>
      </c>
      <c r="B549" s="23" t="s">
        <v>645</v>
      </c>
      <c r="C549" s="23" t="s">
        <v>68</v>
      </c>
      <c r="D549" s="23" t="s">
        <v>55</v>
      </c>
      <c r="E549" s="24" t="s">
        <v>29</v>
      </c>
      <c r="F549" s="21">
        <v>25000</v>
      </c>
      <c r="G549" s="22">
        <v>0</v>
      </c>
      <c r="H549" s="22">
        <v>25</v>
      </c>
      <c r="I549" s="22">
        <v>0</v>
      </c>
      <c r="J549" s="22">
        <v>0</v>
      </c>
      <c r="K549" s="22">
        <f>F549*2.87%</f>
        <v>717.5</v>
      </c>
      <c r="L549" s="22">
        <f>F549*7.1%</f>
        <v>1774.9999999999998</v>
      </c>
      <c r="M549" s="22">
        <v>325</v>
      </c>
      <c r="N549" s="22">
        <v>760</v>
      </c>
      <c r="O549" s="22">
        <v>1772.5000000000002</v>
      </c>
      <c r="P549" s="22">
        <v>0</v>
      </c>
      <c r="Q549" s="21">
        <f>K549+N549</f>
        <v>1477.5</v>
      </c>
      <c r="R549" s="21">
        <f>G549+H549+I549+J549+K549+N549+P549</f>
        <v>1502.5</v>
      </c>
      <c r="S549" s="21">
        <f>L549+M549+O549</f>
        <v>3872.5</v>
      </c>
      <c r="T549" s="21">
        <f>F549-R549</f>
        <v>23497.5</v>
      </c>
      <c r="U549" s="24" t="s">
        <v>36</v>
      </c>
    </row>
    <row r="550" spans="1:21" ht="15.75" customHeight="1">
      <c r="A550" s="19">
        <v>535</v>
      </c>
      <c r="B550" s="23" t="s">
        <v>646</v>
      </c>
      <c r="C550" s="23" t="s">
        <v>68</v>
      </c>
      <c r="D550" s="23" t="s">
        <v>138</v>
      </c>
      <c r="E550" s="24" t="s">
        <v>29</v>
      </c>
      <c r="F550" s="21">
        <v>26000</v>
      </c>
      <c r="G550" s="22">
        <v>0</v>
      </c>
      <c r="H550" s="22">
        <v>25</v>
      </c>
      <c r="I550" s="22">
        <v>0</v>
      </c>
      <c r="J550" s="22">
        <v>0</v>
      </c>
      <c r="K550" s="22">
        <f>F550*2.87%</f>
        <v>746.2</v>
      </c>
      <c r="L550" s="22">
        <f>F550*7.1%</f>
        <v>1845.9999999999998</v>
      </c>
      <c r="M550" s="22">
        <v>338</v>
      </c>
      <c r="N550" s="22">
        <v>790.4</v>
      </c>
      <c r="O550" s="22">
        <v>1843.4</v>
      </c>
      <c r="P550" s="22">
        <v>0</v>
      </c>
      <c r="Q550" s="21">
        <f>K550+N550</f>
        <v>1536.6</v>
      </c>
      <c r="R550" s="21">
        <f>G550+H550+I550+J550+K550+N550+P550</f>
        <v>1561.6</v>
      </c>
      <c r="S550" s="21">
        <f>L550+M550+O550</f>
        <v>4027.4</v>
      </c>
      <c r="T550" s="21">
        <f>F550-R550</f>
        <v>24438.400000000001</v>
      </c>
      <c r="U550" s="24" t="s">
        <v>36</v>
      </c>
    </row>
    <row r="551" spans="1:21" ht="15.75" customHeight="1">
      <c r="A551" s="23">
        <v>536</v>
      </c>
      <c r="B551" s="23" t="s">
        <v>647</v>
      </c>
      <c r="C551" s="23" t="s">
        <v>648</v>
      </c>
      <c r="D551" s="23" t="s">
        <v>28</v>
      </c>
      <c r="E551" s="24" t="s">
        <v>317</v>
      </c>
      <c r="F551" s="21">
        <v>55000</v>
      </c>
      <c r="G551" s="22">
        <v>2559.6799999999998</v>
      </c>
      <c r="H551" s="22">
        <v>25</v>
      </c>
      <c r="I551" s="22">
        <v>0</v>
      </c>
      <c r="J551" s="22">
        <v>0</v>
      </c>
      <c r="K551" s="22">
        <f>F551*2.87%</f>
        <v>1578.5</v>
      </c>
      <c r="L551" s="22">
        <f>F551*7.1%</f>
        <v>3904.9999999999995</v>
      </c>
      <c r="M551" s="22">
        <v>715</v>
      </c>
      <c r="N551" s="22">
        <v>1672</v>
      </c>
      <c r="O551" s="22">
        <v>3899.5000000000005</v>
      </c>
      <c r="P551" s="22">
        <v>0</v>
      </c>
      <c r="Q551" s="21">
        <f>K551+N551</f>
        <v>3250.5</v>
      </c>
      <c r="R551" s="21">
        <f>G551+H551+I551+J551+K551+N551+P551</f>
        <v>5835.18</v>
      </c>
      <c r="S551" s="21">
        <f>L551+M551+O551</f>
        <v>8519.5</v>
      </c>
      <c r="T551" s="21">
        <f>F551-R551</f>
        <v>49164.82</v>
      </c>
      <c r="U551" s="24" t="s">
        <v>30</v>
      </c>
    </row>
    <row r="552" spans="1:21" ht="15.75" customHeight="1">
      <c r="A552" s="23">
        <v>537</v>
      </c>
      <c r="B552" s="23" t="s">
        <v>649</v>
      </c>
      <c r="C552" s="23" t="s">
        <v>71</v>
      </c>
      <c r="D552" s="23" t="s">
        <v>72</v>
      </c>
      <c r="E552" s="24" t="s">
        <v>29</v>
      </c>
      <c r="F552" s="21">
        <v>10000</v>
      </c>
      <c r="G552" s="22">
        <v>0</v>
      </c>
      <c r="H552" s="22">
        <v>25</v>
      </c>
      <c r="I552" s="22">
        <v>0</v>
      </c>
      <c r="J552" s="22">
        <v>0</v>
      </c>
      <c r="K552" s="22">
        <f>F552*2.87%</f>
        <v>287</v>
      </c>
      <c r="L552" s="22">
        <f>F552*7.1%</f>
        <v>709.99999999999989</v>
      </c>
      <c r="M552" s="22">
        <v>130</v>
      </c>
      <c r="N552" s="22">
        <v>304</v>
      </c>
      <c r="O552" s="22">
        <v>709</v>
      </c>
      <c r="P552" s="22">
        <v>0</v>
      </c>
      <c r="Q552" s="21">
        <f>K552+N552</f>
        <v>591</v>
      </c>
      <c r="R552" s="21">
        <f>G552+H552+I552+J552+K552+N552+P552</f>
        <v>616</v>
      </c>
      <c r="S552" s="21">
        <f>L552+M552+O552</f>
        <v>1549</v>
      </c>
      <c r="T552" s="21">
        <f>F552-R552</f>
        <v>9384</v>
      </c>
      <c r="U552" s="24" t="s">
        <v>36</v>
      </c>
    </row>
    <row r="553" spans="1:21" ht="15.75" customHeight="1">
      <c r="A553" s="19">
        <v>538</v>
      </c>
      <c r="B553" s="23" t="s">
        <v>650</v>
      </c>
      <c r="C553" s="23" t="s">
        <v>651</v>
      </c>
      <c r="D553" s="23" t="s">
        <v>72</v>
      </c>
      <c r="E553" s="24" t="s">
        <v>29</v>
      </c>
      <c r="F553" s="21">
        <v>15000</v>
      </c>
      <c r="G553" s="22">
        <v>0</v>
      </c>
      <c r="H553" s="22">
        <v>25</v>
      </c>
      <c r="I553" s="22">
        <v>0</v>
      </c>
      <c r="J553" s="22">
        <f>300+1000+6093.59</f>
        <v>7393.59</v>
      </c>
      <c r="K553" s="22">
        <f>F553*2.87%</f>
        <v>430.5</v>
      </c>
      <c r="L553" s="22">
        <f>F553*7.1%</f>
        <v>1065</v>
      </c>
      <c r="M553" s="22">
        <v>195</v>
      </c>
      <c r="N553" s="22">
        <v>456</v>
      </c>
      <c r="O553" s="22">
        <v>1063.5</v>
      </c>
      <c r="P553" s="22">
        <v>0</v>
      </c>
      <c r="Q553" s="21">
        <f>K553+N553</f>
        <v>886.5</v>
      </c>
      <c r="R553" s="21">
        <f>G553+H553+I553+J553+K553+N553+P553</f>
        <v>8305.09</v>
      </c>
      <c r="S553" s="21">
        <f>L553+M553+O553</f>
        <v>2323.5</v>
      </c>
      <c r="T553" s="21">
        <f>F553-R553</f>
        <v>6694.91</v>
      </c>
      <c r="U553" s="24" t="s">
        <v>36</v>
      </c>
    </row>
    <row r="554" spans="1:21" ht="15.75" customHeight="1">
      <c r="A554" s="23">
        <v>539</v>
      </c>
      <c r="B554" s="23" t="s">
        <v>652</v>
      </c>
      <c r="C554" s="23" t="s">
        <v>287</v>
      </c>
      <c r="D554" s="23" t="s">
        <v>61</v>
      </c>
      <c r="E554" s="24" t="s">
        <v>29</v>
      </c>
      <c r="F554" s="21">
        <v>25000</v>
      </c>
      <c r="G554" s="22">
        <v>0</v>
      </c>
      <c r="H554" s="22">
        <v>25</v>
      </c>
      <c r="I554" s="22">
        <v>0</v>
      </c>
      <c r="J554" s="22">
        <v>0</v>
      </c>
      <c r="K554" s="22">
        <f>F554*2.87%</f>
        <v>717.5</v>
      </c>
      <c r="L554" s="22">
        <f>F554*7.1%</f>
        <v>1774.9999999999998</v>
      </c>
      <c r="M554" s="22">
        <v>325</v>
      </c>
      <c r="N554" s="22">
        <v>760</v>
      </c>
      <c r="O554" s="22">
        <v>1772.5000000000002</v>
      </c>
      <c r="P554" s="22">
        <v>0</v>
      </c>
      <c r="Q554" s="21">
        <f>K554+N554</f>
        <v>1477.5</v>
      </c>
      <c r="R554" s="21">
        <f>G554+H554+I554+J554+K554+N554+P554</f>
        <v>1502.5</v>
      </c>
      <c r="S554" s="21">
        <f>L554+M554+O554</f>
        <v>3872.5</v>
      </c>
      <c r="T554" s="21">
        <f>F554-R554</f>
        <v>23497.5</v>
      </c>
      <c r="U554" s="24" t="s">
        <v>30</v>
      </c>
    </row>
    <row r="555" spans="1:21" ht="15.75" customHeight="1">
      <c r="A555" s="23">
        <v>540</v>
      </c>
      <c r="B555" s="23" t="s">
        <v>653</v>
      </c>
      <c r="C555" s="23" t="s">
        <v>66</v>
      </c>
      <c r="D555" s="23" t="s">
        <v>72</v>
      </c>
      <c r="E555" s="24" t="s">
        <v>29</v>
      </c>
      <c r="F555" s="21">
        <v>20000</v>
      </c>
      <c r="G555" s="22">
        <v>0</v>
      </c>
      <c r="H555" s="22">
        <v>25</v>
      </c>
      <c r="I555" s="22">
        <v>0</v>
      </c>
      <c r="J555" s="22">
        <v>0</v>
      </c>
      <c r="K555" s="22">
        <f>F555*2.87%</f>
        <v>574</v>
      </c>
      <c r="L555" s="22">
        <f>F555*7.1%</f>
        <v>1419.9999999999998</v>
      </c>
      <c r="M555" s="22">
        <v>260</v>
      </c>
      <c r="N555" s="22">
        <v>608</v>
      </c>
      <c r="O555" s="22">
        <v>1418</v>
      </c>
      <c r="P555" s="22">
        <v>0</v>
      </c>
      <c r="Q555" s="21">
        <f>K555+N555</f>
        <v>1182</v>
      </c>
      <c r="R555" s="21">
        <f>G555+H555+I555+J555+K555+N555+P555</f>
        <v>1207</v>
      </c>
      <c r="S555" s="21">
        <f>L555+M555+O555</f>
        <v>3098</v>
      </c>
      <c r="T555" s="21">
        <f>F555-R555</f>
        <v>18793</v>
      </c>
      <c r="U555" s="24" t="s">
        <v>30</v>
      </c>
    </row>
    <row r="556" spans="1:21" ht="15.75" customHeight="1">
      <c r="A556" s="19">
        <v>541</v>
      </c>
      <c r="B556" s="23" t="s">
        <v>654</v>
      </c>
      <c r="C556" s="23" t="s">
        <v>51</v>
      </c>
      <c r="D556" s="23" t="s">
        <v>52</v>
      </c>
      <c r="E556" s="24" t="s">
        <v>29</v>
      </c>
      <c r="F556" s="21">
        <v>10000</v>
      </c>
      <c r="G556" s="22">
        <v>0</v>
      </c>
      <c r="H556" s="22">
        <v>25</v>
      </c>
      <c r="I556" s="22">
        <v>0</v>
      </c>
      <c r="J556" s="22">
        <v>0</v>
      </c>
      <c r="K556" s="22">
        <f>F556*2.87%</f>
        <v>287</v>
      </c>
      <c r="L556" s="22">
        <f>F556*7.1%</f>
        <v>709.99999999999989</v>
      </c>
      <c r="M556" s="22">
        <v>130</v>
      </c>
      <c r="N556" s="22">
        <v>304</v>
      </c>
      <c r="O556" s="22">
        <v>709</v>
      </c>
      <c r="P556" s="22">
        <v>0</v>
      </c>
      <c r="Q556" s="21">
        <f>K556+N556</f>
        <v>591</v>
      </c>
      <c r="R556" s="21">
        <f>G556+H556+I556+J556+K556+N556+P556</f>
        <v>616</v>
      </c>
      <c r="S556" s="21">
        <f>L556+M556+O556</f>
        <v>1549</v>
      </c>
      <c r="T556" s="21">
        <f>F556-R556</f>
        <v>9384</v>
      </c>
      <c r="U556" s="24" t="s">
        <v>36</v>
      </c>
    </row>
    <row r="557" spans="1:21" ht="15.75" customHeight="1">
      <c r="A557" s="23">
        <v>542</v>
      </c>
      <c r="B557" s="23" t="s">
        <v>655</v>
      </c>
      <c r="C557" s="23" t="s">
        <v>48</v>
      </c>
      <c r="D557" s="23" t="s">
        <v>177</v>
      </c>
      <c r="E557" s="24" t="s">
        <v>29</v>
      </c>
      <c r="F557" s="21">
        <v>20000</v>
      </c>
      <c r="G557" s="22">
        <v>0</v>
      </c>
      <c r="H557" s="22">
        <v>25</v>
      </c>
      <c r="I557" s="22">
        <v>0</v>
      </c>
      <c r="J557" s="22">
        <v>0</v>
      </c>
      <c r="K557" s="22">
        <f>F557*2.87%</f>
        <v>574</v>
      </c>
      <c r="L557" s="22">
        <f>F557*7.1%</f>
        <v>1419.9999999999998</v>
      </c>
      <c r="M557" s="22">
        <v>260</v>
      </c>
      <c r="N557" s="22">
        <v>608</v>
      </c>
      <c r="O557" s="22">
        <v>1418</v>
      </c>
      <c r="P557" s="22">
        <v>0</v>
      </c>
      <c r="Q557" s="21">
        <f>K557+N557</f>
        <v>1182</v>
      </c>
      <c r="R557" s="21">
        <f>G557+H557+I557+J557+K557+N557+P557</f>
        <v>1207</v>
      </c>
      <c r="S557" s="21">
        <f>L557+M557+O557</f>
        <v>3098</v>
      </c>
      <c r="T557" s="21">
        <f>F557-R557</f>
        <v>18793</v>
      </c>
      <c r="U557" s="24" t="s">
        <v>36</v>
      </c>
    </row>
    <row r="558" spans="1:21" ht="15.75" customHeight="1">
      <c r="A558" s="23">
        <v>543</v>
      </c>
      <c r="B558" s="23" t="s">
        <v>656</v>
      </c>
      <c r="C558" s="23" t="s">
        <v>57</v>
      </c>
      <c r="D558" s="23" t="s">
        <v>58</v>
      </c>
      <c r="E558" s="24" t="s">
        <v>29</v>
      </c>
      <c r="F558" s="21">
        <v>15000</v>
      </c>
      <c r="G558" s="22">
        <v>0</v>
      </c>
      <c r="H558" s="22">
        <v>25</v>
      </c>
      <c r="I558" s="22">
        <v>0</v>
      </c>
      <c r="J558" s="22">
        <v>0</v>
      </c>
      <c r="K558" s="22">
        <f>F558*2.87%</f>
        <v>430.5</v>
      </c>
      <c r="L558" s="22">
        <f>F558*7.1%</f>
        <v>1065</v>
      </c>
      <c r="M558" s="22">
        <v>195</v>
      </c>
      <c r="N558" s="22">
        <v>456</v>
      </c>
      <c r="O558" s="22">
        <v>1063.5</v>
      </c>
      <c r="P558" s="22">
        <v>0</v>
      </c>
      <c r="Q558" s="21">
        <f>K558+N558</f>
        <v>886.5</v>
      </c>
      <c r="R558" s="21">
        <f>G558+H558+I558+J558+K558+N558+P558</f>
        <v>911.5</v>
      </c>
      <c r="S558" s="21">
        <f>L558+M558+O558</f>
        <v>2323.5</v>
      </c>
      <c r="T558" s="21">
        <f>F558-R558</f>
        <v>14088.5</v>
      </c>
      <c r="U558" s="24" t="s">
        <v>30</v>
      </c>
    </row>
    <row r="559" spans="1:21" ht="15.75" customHeight="1">
      <c r="A559" s="19">
        <v>544</v>
      </c>
      <c r="B559" s="23" t="s">
        <v>657</v>
      </c>
      <c r="C559" s="23" t="s">
        <v>60</v>
      </c>
      <c r="D559" s="23" t="s">
        <v>72</v>
      </c>
      <c r="E559" s="24" t="s">
        <v>29</v>
      </c>
      <c r="F559" s="21">
        <v>30000</v>
      </c>
      <c r="G559" s="22">
        <v>0</v>
      </c>
      <c r="H559" s="22">
        <v>25</v>
      </c>
      <c r="I559" s="22">
        <v>0</v>
      </c>
      <c r="J559" s="22">
        <v>0</v>
      </c>
      <c r="K559" s="22">
        <f>F559*2.87%</f>
        <v>861</v>
      </c>
      <c r="L559" s="22">
        <f>F559*7.1%</f>
        <v>2130</v>
      </c>
      <c r="M559" s="22">
        <v>390</v>
      </c>
      <c r="N559" s="22">
        <v>912</v>
      </c>
      <c r="O559" s="22">
        <v>2127</v>
      </c>
      <c r="P559" s="22">
        <v>0</v>
      </c>
      <c r="Q559" s="21">
        <f>K559+N559</f>
        <v>1773</v>
      </c>
      <c r="R559" s="21">
        <f>G559+H559+I559+J559+K559+N559+P559</f>
        <v>1798</v>
      </c>
      <c r="S559" s="21">
        <f>L559+M559+O559</f>
        <v>4647</v>
      </c>
      <c r="T559" s="21">
        <f>F559-R559</f>
        <v>28202</v>
      </c>
      <c r="U559" s="24" t="s">
        <v>30</v>
      </c>
    </row>
    <row r="560" spans="1:21" ht="15.75" customHeight="1">
      <c r="A560" s="23">
        <v>545</v>
      </c>
      <c r="B560" s="23" t="s">
        <v>658</v>
      </c>
      <c r="C560" s="23" t="s">
        <v>57</v>
      </c>
      <c r="D560" s="23" t="s">
        <v>58</v>
      </c>
      <c r="E560" s="24" t="s">
        <v>29</v>
      </c>
      <c r="F560" s="21">
        <v>15000</v>
      </c>
      <c r="G560" s="22">
        <v>0</v>
      </c>
      <c r="H560" s="22">
        <v>25</v>
      </c>
      <c r="I560" s="22">
        <v>0</v>
      </c>
      <c r="J560" s="22">
        <v>0</v>
      </c>
      <c r="K560" s="22">
        <f>F560*2.87%</f>
        <v>430.5</v>
      </c>
      <c r="L560" s="22">
        <f>F560*7.1%</f>
        <v>1065</v>
      </c>
      <c r="M560" s="22">
        <v>195</v>
      </c>
      <c r="N560" s="22">
        <v>456</v>
      </c>
      <c r="O560" s="22">
        <v>1063.5</v>
      </c>
      <c r="P560" s="22">
        <v>0</v>
      </c>
      <c r="Q560" s="21">
        <f>K560+N560</f>
        <v>886.5</v>
      </c>
      <c r="R560" s="21">
        <f>G560+H560+I560+J560+K560+N560+P560</f>
        <v>911.5</v>
      </c>
      <c r="S560" s="21">
        <f>L560+M560+O560</f>
        <v>2323.5</v>
      </c>
      <c r="T560" s="21">
        <f>F560-R560</f>
        <v>14088.5</v>
      </c>
      <c r="U560" s="24" t="s">
        <v>30</v>
      </c>
    </row>
    <row r="561" spans="1:21" ht="15.75" customHeight="1">
      <c r="A561" s="23">
        <v>546</v>
      </c>
      <c r="B561" s="23" t="s">
        <v>659</v>
      </c>
      <c r="C561" s="23" t="s">
        <v>88</v>
      </c>
      <c r="D561" s="23" t="s">
        <v>58</v>
      </c>
      <c r="E561" s="24" t="s">
        <v>29</v>
      </c>
      <c r="F561" s="21">
        <v>15000</v>
      </c>
      <c r="G561" s="22">
        <v>0</v>
      </c>
      <c r="H561" s="22">
        <v>25</v>
      </c>
      <c r="I561" s="22">
        <v>0</v>
      </c>
      <c r="J561" s="22">
        <v>0</v>
      </c>
      <c r="K561" s="22">
        <f>F561*2.87%</f>
        <v>430.5</v>
      </c>
      <c r="L561" s="22">
        <f>F561*7.1%</f>
        <v>1065</v>
      </c>
      <c r="M561" s="22">
        <v>195</v>
      </c>
      <c r="N561" s="22">
        <v>456</v>
      </c>
      <c r="O561" s="22">
        <v>1063.5</v>
      </c>
      <c r="P561" s="22">
        <v>0</v>
      </c>
      <c r="Q561" s="21">
        <f>K561+N561</f>
        <v>886.5</v>
      </c>
      <c r="R561" s="21">
        <f>G561+H561+I561+J561+K561+N561+P561</f>
        <v>911.5</v>
      </c>
      <c r="S561" s="21">
        <f>L561+M561+O561</f>
        <v>2323.5</v>
      </c>
      <c r="T561" s="21">
        <f>F561-R561</f>
        <v>14088.5</v>
      </c>
      <c r="U561" s="24" t="s">
        <v>30</v>
      </c>
    </row>
    <row r="562" spans="1:21" ht="15.75" customHeight="1">
      <c r="A562" s="19">
        <v>547</v>
      </c>
      <c r="B562" s="23" t="s">
        <v>660</v>
      </c>
      <c r="C562" s="23" t="s">
        <v>60</v>
      </c>
      <c r="D562" s="23" t="s">
        <v>58</v>
      </c>
      <c r="E562" s="24" t="s">
        <v>29</v>
      </c>
      <c r="F562" s="21">
        <v>30000</v>
      </c>
      <c r="G562" s="22">
        <v>0</v>
      </c>
      <c r="H562" s="22">
        <v>25</v>
      </c>
      <c r="I562" s="22">
        <v>0</v>
      </c>
      <c r="J562" s="22">
        <v>0</v>
      </c>
      <c r="K562" s="22">
        <f>F562*2.87%</f>
        <v>861</v>
      </c>
      <c r="L562" s="22">
        <f>F562*7.1%</f>
        <v>2130</v>
      </c>
      <c r="M562" s="22">
        <v>390</v>
      </c>
      <c r="N562" s="22">
        <v>912</v>
      </c>
      <c r="O562" s="22">
        <v>2127</v>
      </c>
      <c r="P562" s="22">
        <v>0</v>
      </c>
      <c r="Q562" s="21">
        <f>K562+N562</f>
        <v>1773</v>
      </c>
      <c r="R562" s="21">
        <f>G562+H562+I562+J562+K562+N562+P562</f>
        <v>1798</v>
      </c>
      <c r="S562" s="21">
        <f>L562+M562+O562</f>
        <v>4647</v>
      </c>
      <c r="T562" s="21">
        <f>F562-R562</f>
        <v>28202</v>
      </c>
      <c r="U562" s="24" t="s">
        <v>30</v>
      </c>
    </row>
    <row r="563" spans="1:21" ht="15.75" customHeight="1">
      <c r="A563" s="23">
        <v>548</v>
      </c>
      <c r="B563" s="23" t="s">
        <v>661</v>
      </c>
      <c r="C563" s="23" t="s">
        <v>68</v>
      </c>
      <c r="D563" s="23" t="s">
        <v>41</v>
      </c>
      <c r="E563" s="24" t="s">
        <v>29</v>
      </c>
      <c r="F563" s="21">
        <v>25000</v>
      </c>
      <c r="G563" s="22">
        <v>0</v>
      </c>
      <c r="H563" s="22">
        <v>25</v>
      </c>
      <c r="I563" s="22">
        <v>0</v>
      </c>
      <c r="J563" s="22">
        <f>1000+1878.4</f>
        <v>2878.4</v>
      </c>
      <c r="K563" s="22">
        <f>F563*2.87%</f>
        <v>717.5</v>
      </c>
      <c r="L563" s="22">
        <f>F563*7.1%</f>
        <v>1774.9999999999998</v>
      </c>
      <c r="M563" s="22">
        <v>325</v>
      </c>
      <c r="N563" s="22">
        <v>760</v>
      </c>
      <c r="O563" s="22">
        <v>1772.5000000000002</v>
      </c>
      <c r="P563" s="22">
        <v>0</v>
      </c>
      <c r="Q563" s="21">
        <f>K563+N563</f>
        <v>1477.5</v>
      </c>
      <c r="R563" s="21">
        <f>G563+H563+I563+J563+K563+N563+P563</f>
        <v>4380.8999999999996</v>
      </c>
      <c r="S563" s="21">
        <f>L563+M563+O563</f>
        <v>3872.5</v>
      </c>
      <c r="T563" s="21">
        <f>F563-R563</f>
        <v>20619.099999999999</v>
      </c>
      <c r="U563" s="24" t="s">
        <v>36</v>
      </c>
    </row>
    <row r="564" spans="1:21" ht="15.75" customHeight="1">
      <c r="A564" s="23">
        <v>549</v>
      </c>
      <c r="B564" s="23" t="s">
        <v>662</v>
      </c>
      <c r="C564" s="23" t="s">
        <v>88</v>
      </c>
      <c r="D564" s="23" t="s">
        <v>61</v>
      </c>
      <c r="E564" s="24" t="s">
        <v>29</v>
      </c>
      <c r="F564" s="21">
        <v>10000</v>
      </c>
      <c r="G564" s="22">
        <v>0</v>
      </c>
      <c r="H564" s="22">
        <v>25</v>
      </c>
      <c r="I564" s="22">
        <v>0</v>
      </c>
      <c r="J564" s="22">
        <v>0</v>
      </c>
      <c r="K564" s="22">
        <f>F564*2.87%</f>
        <v>287</v>
      </c>
      <c r="L564" s="22">
        <f>F564*7.1%</f>
        <v>709.99999999999989</v>
      </c>
      <c r="M564" s="22">
        <v>130</v>
      </c>
      <c r="N564" s="22">
        <v>304</v>
      </c>
      <c r="O564" s="22">
        <v>709</v>
      </c>
      <c r="P564" s="22">
        <v>0</v>
      </c>
      <c r="Q564" s="21">
        <f>K564+N564</f>
        <v>591</v>
      </c>
      <c r="R564" s="21">
        <f>G564+H564+I564+J564+K564+N564+P564</f>
        <v>616</v>
      </c>
      <c r="S564" s="21">
        <f>L564+M564+O564</f>
        <v>1549</v>
      </c>
      <c r="T564" s="21">
        <f>F564-R564</f>
        <v>9384</v>
      </c>
      <c r="U564" s="24" t="s">
        <v>30</v>
      </c>
    </row>
    <row r="565" spans="1:21" ht="15.75" customHeight="1">
      <c r="A565" s="19">
        <v>550</v>
      </c>
      <c r="B565" s="23" t="s">
        <v>663</v>
      </c>
      <c r="C565" s="23" t="s">
        <v>63</v>
      </c>
      <c r="D565" s="23" t="s">
        <v>78</v>
      </c>
      <c r="E565" s="24" t="s">
        <v>29</v>
      </c>
      <c r="F565" s="21">
        <v>25000</v>
      </c>
      <c r="G565" s="22">
        <v>0</v>
      </c>
      <c r="H565" s="22">
        <v>25</v>
      </c>
      <c r="I565" s="22">
        <v>0</v>
      </c>
      <c r="J565" s="22">
        <v>0</v>
      </c>
      <c r="K565" s="22">
        <f>F565*2.87%</f>
        <v>717.5</v>
      </c>
      <c r="L565" s="22">
        <f>F565*7.1%</f>
        <v>1774.9999999999998</v>
      </c>
      <c r="M565" s="22">
        <v>325</v>
      </c>
      <c r="N565" s="22">
        <v>760</v>
      </c>
      <c r="O565" s="22">
        <v>1772.5000000000002</v>
      </c>
      <c r="P565" s="22">
        <v>0</v>
      </c>
      <c r="Q565" s="21">
        <f>K565+N565</f>
        <v>1477.5</v>
      </c>
      <c r="R565" s="21">
        <f>G565+H565+I565+J565+K565+N565+P565</f>
        <v>1502.5</v>
      </c>
      <c r="S565" s="21">
        <f>L565+M565+O565</f>
        <v>3872.5</v>
      </c>
      <c r="T565" s="21">
        <f>F565-R565</f>
        <v>23497.5</v>
      </c>
      <c r="U565" s="24" t="s">
        <v>30</v>
      </c>
    </row>
    <row r="566" spans="1:21" ht="15.75" customHeight="1">
      <c r="A566" s="23">
        <v>551</v>
      </c>
      <c r="B566" s="23" t="s">
        <v>664</v>
      </c>
      <c r="C566" s="23" t="s">
        <v>665</v>
      </c>
      <c r="D566" s="23" t="s">
        <v>177</v>
      </c>
      <c r="E566" s="24" t="s">
        <v>29</v>
      </c>
      <c r="F566" s="21">
        <v>30000</v>
      </c>
      <c r="G566" s="22">
        <v>0</v>
      </c>
      <c r="H566" s="22">
        <v>25</v>
      </c>
      <c r="I566" s="22">
        <v>0</v>
      </c>
      <c r="J566" s="22">
        <v>300</v>
      </c>
      <c r="K566" s="22">
        <f>F566*2.87%</f>
        <v>861</v>
      </c>
      <c r="L566" s="22">
        <f>F566*7.1%</f>
        <v>2130</v>
      </c>
      <c r="M566" s="22">
        <v>390</v>
      </c>
      <c r="N566" s="22">
        <v>912</v>
      </c>
      <c r="O566" s="22">
        <v>2127</v>
      </c>
      <c r="P566" s="21">
        <v>1587.38</v>
      </c>
      <c r="Q566" s="21">
        <f>K566+N566</f>
        <v>1773</v>
      </c>
      <c r="R566" s="21">
        <f>G566+H566+I566+J566+K566+N566+P566</f>
        <v>3685.38</v>
      </c>
      <c r="S566" s="21">
        <f>L566+M566+O566</f>
        <v>4647</v>
      </c>
      <c r="T566" s="21">
        <f>F566-R566</f>
        <v>26314.62</v>
      </c>
      <c r="U566" s="24" t="s">
        <v>36</v>
      </c>
    </row>
    <row r="567" spans="1:21" ht="15.75" customHeight="1">
      <c r="A567" s="23">
        <v>552</v>
      </c>
      <c r="B567" s="23" t="s">
        <v>666</v>
      </c>
      <c r="C567" s="23" t="s">
        <v>240</v>
      </c>
      <c r="D567" s="23" t="s">
        <v>72</v>
      </c>
      <c r="E567" s="24" t="s">
        <v>29</v>
      </c>
      <c r="F567" s="21">
        <v>15000</v>
      </c>
      <c r="G567" s="22">
        <v>0</v>
      </c>
      <c r="H567" s="22">
        <v>25</v>
      </c>
      <c r="I567" s="22">
        <v>0</v>
      </c>
      <c r="J567" s="22">
        <v>0</v>
      </c>
      <c r="K567" s="22">
        <f>F567*2.87%</f>
        <v>430.5</v>
      </c>
      <c r="L567" s="22">
        <f>F567*7.1%</f>
        <v>1065</v>
      </c>
      <c r="M567" s="22">
        <v>195</v>
      </c>
      <c r="N567" s="22">
        <v>456</v>
      </c>
      <c r="O567" s="22">
        <v>1063.5</v>
      </c>
      <c r="P567" s="22">
        <v>0</v>
      </c>
      <c r="Q567" s="21">
        <f>K567+N567</f>
        <v>886.5</v>
      </c>
      <c r="R567" s="21">
        <f>G567+H567+I567+J567+K567+N567+P567</f>
        <v>911.5</v>
      </c>
      <c r="S567" s="21">
        <f>L567+M567+O567</f>
        <v>2323.5</v>
      </c>
      <c r="T567" s="21">
        <f>F567-R567</f>
        <v>14088.5</v>
      </c>
      <c r="U567" s="24" t="s">
        <v>36</v>
      </c>
    </row>
    <row r="568" spans="1:21" ht="15.75" customHeight="1">
      <c r="A568" s="19">
        <v>553</v>
      </c>
      <c r="B568" s="23" t="s">
        <v>667</v>
      </c>
      <c r="C568" s="23" t="s">
        <v>269</v>
      </c>
      <c r="D568" s="23" t="s">
        <v>98</v>
      </c>
      <c r="E568" s="24" t="s">
        <v>29</v>
      </c>
      <c r="F568" s="21">
        <v>18000</v>
      </c>
      <c r="G568" s="22">
        <v>0</v>
      </c>
      <c r="H568" s="22">
        <v>25</v>
      </c>
      <c r="I568" s="22">
        <v>0</v>
      </c>
      <c r="J568" s="22">
        <f>1000+300+1211.88</f>
        <v>2511.88</v>
      </c>
      <c r="K568" s="22">
        <f>F568*2.87%</f>
        <v>516.6</v>
      </c>
      <c r="L568" s="22">
        <f>F568*7.1%</f>
        <v>1277.9999999999998</v>
      </c>
      <c r="M568" s="22">
        <v>234</v>
      </c>
      <c r="N568" s="22">
        <v>547.20000000000005</v>
      </c>
      <c r="O568" s="22">
        <v>1276.2</v>
      </c>
      <c r="P568" s="22">
        <v>0</v>
      </c>
      <c r="Q568" s="21">
        <f>K568+N568</f>
        <v>1063.8000000000002</v>
      </c>
      <c r="R568" s="21">
        <f>G568+H568+I568+J568+K568+N568+P568</f>
        <v>3600.6800000000003</v>
      </c>
      <c r="S568" s="21">
        <f>L568+M568+O568</f>
        <v>2788.2</v>
      </c>
      <c r="T568" s="21">
        <f>F568-R568</f>
        <v>14399.32</v>
      </c>
      <c r="U568" s="24" t="s">
        <v>30</v>
      </c>
    </row>
    <row r="569" spans="1:21" ht="15.75" customHeight="1">
      <c r="A569" s="23">
        <v>554</v>
      </c>
      <c r="B569" s="23" t="s">
        <v>668</v>
      </c>
      <c r="C569" s="23" t="s">
        <v>368</v>
      </c>
      <c r="D569" s="23" t="s">
        <v>58</v>
      </c>
      <c r="E569" s="24" t="s">
        <v>29</v>
      </c>
      <c r="F569" s="21">
        <v>30000</v>
      </c>
      <c r="G569" s="22">
        <v>0</v>
      </c>
      <c r="H569" s="22">
        <v>25</v>
      </c>
      <c r="I569" s="22">
        <v>0</v>
      </c>
      <c r="J569" s="22">
        <v>0</v>
      </c>
      <c r="K569" s="22">
        <f>F569*2.87%</f>
        <v>861</v>
      </c>
      <c r="L569" s="22">
        <f>F569*7.1%</f>
        <v>2130</v>
      </c>
      <c r="M569" s="22">
        <v>390</v>
      </c>
      <c r="N569" s="22">
        <v>912</v>
      </c>
      <c r="O569" s="22">
        <v>2127</v>
      </c>
      <c r="P569" s="22">
        <v>0</v>
      </c>
      <c r="Q569" s="21">
        <f>K569+N569</f>
        <v>1773</v>
      </c>
      <c r="R569" s="21">
        <f>G569+H569+I569+J569+K569+N569+P569</f>
        <v>1798</v>
      </c>
      <c r="S569" s="21">
        <f>L569+M569+O569</f>
        <v>4647</v>
      </c>
      <c r="T569" s="21">
        <f>F569-R569</f>
        <v>28202</v>
      </c>
      <c r="U569" s="24" t="s">
        <v>30</v>
      </c>
    </row>
    <row r="570" spans="1:21" ht="15.75" customHeight="1">
      <c r="A570" s="23">
        <v>555</v>
      </c>
      <c r="B570" s="23" t="s">
        <v>669</v>
      </c>
      <c r="C570" s="23" t="s">
        <v>358</v>
      </c>
      <c r="D570" s="23" t="s">
        <v>433</v>
      </c>
      <c r="E570" s="24" t="s">
        <v>317</v>
      </c>
      <c r="F570" s="21">
        <v>10000</v>
      </c>
      <c r="G570" s="22">
        <v>0</v>
      </c>
      <c r="H570" s="22">
        <v>25</v>
      </c>
      <c r="I570" s="22">
        <v>0</v>
      </c>
      <c r="J570" s="22">
        <v>0</v>
      </c>
      <c r="K570" s="22">
        <f>F570*2.87%</f>
        <v>287</v>
      </c>
      <c r="L570" s="22">
        <f>F570*7.1%</f>
        <v>709.99999999999989</v>
      </c>
      <c r="M570" s="22">
        <v>130</v>
      </c>
      <c r="N570" s="22">
        <v>304</v>
      </c>
      <c r="O570" s="22">
        <v>709</v>
      </c>
      <c r="P570" s="22">
        <v>0</v>
      </c>
      <c r="Q570" s="21">
        <f>K570+N570</f>
        <v>591</v>
      </c>
      <c r="R570" s="21">
        <f>G570+H570+I570+J570+K570+N570+P570</f>
        <v>616</v>
      </c>
      <c r="S570" s="21">
        <f>L570+M570+O570</f>
        <v>1549</v>
      </c>
      <c r="T570" s="21">
        <f>F570-R570</f>
        <v>9384</v>
      </c>
      <c r="U570" s="24" t="s">
        <v>30</v>
      </c>
    </row>
    <row r="571" spans="1:21" ht="15.75" customHeight="1">
      <c r="A571" s="19">
        <v>556</v>
      </c>
      <c r="B571" s="23" t="s">
        <v>670</v>
      </c>
      <c r="C571" s="23" t="s">
        <v>88</v>
      </c>
      <c r="D571" s="23" t="s">
        <v>58</v>
      </c>
      <c r="E571" s="24" t="s">
        <v>29</v>
      </c>
      <c r="F571" s="21">
        <v>10000</v>
      </c>
      <c r="G571" s="22">
        <v>0</v>
      </c>
      <c r="H571" s="22">
        <v>25</v>
      </c>
      <c r="I571" s="22">
        <v>0</v>
      </c>
      <c r="J571" s="22">
        <v>0</v>
      </c>
      <c r="K571" s="22">
        <f>F571*2.87%</f>
        <v>287</v>
      </c>
      <c r="L571" s="22">
        <f>F571*7.1%</f>
        <v>709.99999999999989</v>
      </c>
      <c r="M571" s="22">
        <v>130</v>
      </c>
      <c r="N571" s="22">
        <v>304</v>
      </c>
      <c r="O571" s="22">
        <v>709</v>
      </c>
      <c r="P571" s="22">
        <v>0</v>
      </c>
      <c r="Q571" s="21">
        <f>K571+N571</f>
        <v>591</v>
      </c>
      <c r="R571" s="21">
        <f>G571+H571+I571+J571+K571+N571+P571</f>
        <v>616</v>
      </c>
      <c r="S571" s="21">
        <f>L571+M571+O571</f>
        <v>1549</v>
      </c>
      <c r="T571" s="21">
        <f>F571-R571</f>
        <v>9384</v>
      </c>
      <c r="U571" s="24" t="s">
        <v>30</v>
      </c>
    </row>
    <row r="572" spans="1:21" ht="15.75" customHeight="1">
      <c r="A572" s="23">
        <v>557</v>
      </c>
      <c r="B572" s="23" t="s">
        <v>671</v>
      </c>
      <c r="C572" s="23" t="s">
        <v>96</v>
      </c>
      <c r="D572" s="23" t="s">
        <v>49</v>
      </c>
      <c r="E572" s="24" t="s">
        <v>29</v>
      </c>
      <c r="F572" s="21">
        <v>15000</v>
      </c>
      <c r="G572" s="22">
        <v>0</v>
      </c>
      <c r="H572" s="22">
        <v>25</v>
      </c>
      <c r="I572" s="22">
        <v>0</v>
      </c>
      <c r="J572" s="22">
        <f>700+300+1749.69</f>
        <v>2749.69</v>
      </c>
      <c r="K572" s="22">
        <f>F572*2.87%</f>
        <v>430.5</v>
      </c>
      <c r="L572" s="22">
        <f>F572*7.1%</f>
        <v>1065</v>
      </c>
      <c r="M572" s="22">
        <v>195</v>
      </c>
      <c r="N572" s="22">
        <v>456</v>
      </c>
      <c r="O572" s="22">
        <v>1063.5</v>
      </c>
      <c r="P572" s="22">
        <v>0</v>
      </c>
      <c r="Q572" s="21">
        <f>K572+N572</f>
        <v>886.5</v>
      </c>
      <c r="R572" s="21">
        <f>G572+H572+I572+J572+K572+N572+P572</f>
        <v>3661.19</v>
      </c>
      <c r="S572" s="21">
        <f>L572+M572+O572</f>
        <v>2323.5</v>
      </c>
      <c r="T572" s="21">
        <f>F572-R572</f>
        <v>11338.81</v>
      </c>
      <c r="U572" s="24" t="s">
        <v>30</v>
      </c>
    </row>
    <row r="573" spans="1:21" ht="15.75" customHeight="1">
      <c r="A573" s="23">
        <v>558</v>
      </c>
      <c r="B573" s="23" t="s">
        <v>672</v>
      </c>
      <c r="C573" s="23" t="s">
        <v>141</v>
      </c>
      <c r="D573" s="23" t="s">
        <v>58</v>
      </c>
      <c r="E573" s="24" t="s">
        <v>29</v>
      </c>
      <c r="F573" s="21">
        <v>15000</v>
      </c>
      <c r="G573" s="22">
        <v>0</v>
      </c>
      <c r="H573" s="22">
        <v>25</v>
      </c>
      <c r="I573" s="22">
        <v>0</v>
      </c>
      <c r="J573" s="22">
        <v>0</v>
      </c>
      <c r="K573" s="22">
        <f>F573*2.87%</f>
        <v>430.5</v>
      </c>
      <c r="L573" s="22">
        <f>F573*7.1%</f>
        <v>1065</v>
      </c>
      <c r="M573" s="22">
        <v>195</v>
      </c>
      <c r="N573" s="22">
        <v>456</v>
      </c>
      <c r="O573" s="22">
        <v>1063.5</v>
      </c>
      <c r="P573" s="22">
        <v>0</v>
      </c>
      <c r="Q573" s="21">
        <f>K573+N573</f>
        <v>886.5</v>
      </c>
      <c r="R573" s="21">
        <f>G573+H573+I573+J573+K573+N573+P573</f>
        <v>911.5</v>
      </c>
      <c r="S573" s="21">
        <f>L573+M573+O573</f>
        <v>2323.5</v>
      </c>
      <c r="T573" s="21">
        <f>F573-R573</f>
        <v>14088.5</v>
      </c>
      <c r="U573" s="24" t="s">
        <v>30</v>
      </c>
    </row>
    <row r="574" spans="1:21" ht="15.75" customHeight="1">
      <c r="A574" s="19">
        <v>559</v>
      </c>
      <c r="B574" s="23" t="s">
        <v>673</v>
      </c>
      <c r="C574" s="23" t="s">
        <v>674</v>
      </c>
      <c r="D574" s="23" t="s">
        <v>98</v>
      </c>
      <c r="E574" s="24" t="s">
        <v>29</v>
      </c>
      <c r="F574" s="21">
        <v>30000</v>
      </c>
      <c r="G574" s="22">
        <v>0</v>
      </c>
      <c r="H574" s="22">
        <v>25</v>
      </c>
      <c r="I574" s="22">
        <v>0</v>
      </c>
      <c r="J574" s="22">
        <v>0</v>
      </c>
      <c r="K574" s="22">
        <f>F574*2.87%</f>
        <v>861</v>
      </c>
      <c r="L574" s="22">
        <f>F574*7.1%</f>
        <v>2130</v>
      </c>
      <c r="M574" s="22">
        <v>390</v>
      </c>
      <c r="N574" s="22">
        <v>912</v>
      </c>
      <c r="O574" s="22">
        <v>2127</v>
      </c>
      <c r="P574" s="22">
        <v>0</v>
      </c>
      <c r="Q574" s="21">
        <f>K574+N574</f>
        <v>1773</v>
      </c>
      <c r="R574" s="21">
        <f>G574+H574+I574+J574+K574+N574+P574</f>
        <v>1798</v>
      </c>
      <c r="S574" s="21">
        <f>L574+M574+O574</f>
        <v>4647</v>
      </c>
      <c r="T574" s="21">
        <f>F574-R574</f>
        <v>28202</v>
      </c>
      <c r="U574" s="24" t="s">
        <v>30</v>
      </c>
    </row>
    <row r="575" spans="1:21" ht="15.75" customHeight="1">
      <c r="A575" s="23">
        <v>560</v>
      </c>
      <c r="B575" s="23" t="s">
        <v>675</v>
      </c>
      <c r="C575" s="23" t="s">
        <v>63</v>
      </c>
      <c r="D575" s="23" t="s">
        <v>98</v>
      </c>
      <c r="E575" s="24" t="s">
        <v>29</v>
      </c>
      <c r="F575" s="21">
        <v>20000</v>
      </c>
      <c r="G575" s="22">
        <v>0</v>
      </c>
      <c r="H575" s="22">
        <v>25</v>
      </c>
      <c r="I575" s="22">
        <v>0</v>
      </c>
      <c r="J575" s="22">
        <v>0</v>
      </c>
      <c r="K575" s="22">
        <f>F575*2.87%</f>
        <v>574</v>
      </c>
      <c r="L575" s="22">
        <f>F575*7.1%</f>
        <v>1419.9999999999998</v>
      </c>
      <c r="M575" s="22">
        <v>260</v>
      </c>
      <c r="N575" s="22">
        <v>608</v>
      </c>
      <c r="O575" s="22">
        <v>1418</v>
      </c>
      <c r="P575" s="22">
        <v>0</v>
      </c>
      <c r="Q575" s="21">
        <f>K575+N575</f>
        <v>1182</v>
      </c>
      <c r="R575" s="21">
        <f>G575+H575+I575+J575+K575+N575+P575</f>
        <v>1207</v>
      </c>
      <c r="S575" s="21">
        <f>L575+M575+O575</f>
        <v>3098</v>
      </c>
      <c r="T575" s="21">
        <f>F575-R575</f>
        <v>18793</v>
      </c>
      <c r="U575" s="24" t="s">
        <v>30</v>
      </c>
    </row>
    <row r="576" spans="1:21" ht="15.75" customHeight="1">
      <c r="A576" s="23">
        <v>561</v>
      </c>
      <c r="B576" s="23" t="s">
        <v>676</v>
      </c>
      <c r="C576" s="23" t="s">
        <v>677</v>
      </c>
      <c r="D576" s="23" t="s">
        <v>28</v>
      </c>
      <c r="E576" s="24" t="s">
        <v>29</v>
      </c>
      <c r="F576" s="21">
        <v>90000</v>
      </c>
      <c r="G576" s="22">
        <v>9753.1200000000008</v>
      </c>
      <c r="H576" s="22">
        <v>25</v>
      </c>
      <c r="I576" s="22">
        <v>0</v>
      </c>
      <c r="J576" s="22">
        <v>0</v>
      </c>
      <c r="K576" s="22">
        <f>F576*2.87%</f>
        <v>2583</v>
      </c>
      <c r="L576" s="22">
        <f>F576*7.1%</f>
        <v>6389.9999999999991</v>
      </c>
      <c r="M576" s="22">
        <v>972.5</v>
      </c>
      <c r="N576" s="22">
        <v>2736</v>
      </c>
      <c r="O576" s="22">
        <v>6381</v>
      </c>
      <c r="P576" s="22">
        <v>0</v>
      </c>
      <c r="Q576" s="21">
        <f>K576+N576</f>
        <v>5319</v>
      </c>
      <c r="R576" s="21">
        <f>G576+H576+I576+J576+K576+N576+P576</f>
        <v>15097.12</v>
      </c>
      <c r="S576" s="21">
        <f>L576+M576+O576</f>
        <v>13743.5</v>
      </c>
      <c r="T576" s="21">
        <f>F576-R576</f>
        <v>74902.880000000005</v>
      </c>
      <c r="U576" s="24" t="s">
        <v>36</v>
      </c>
    </row>
    <row r="577" spans="1:21" ht="15.75" customHeight="1">
      <c r="A577" s="19">
        <v>562</v>
      </c>
      <c r="B577" s="23" t="s">
        <v>678</v>
      </c>
      <c r="C577" s="23" t="s">
        <v>358</v>
      </c>
      <c r="D577" s="23" t="s">
        <v>433</v>
      </c>
      <c r="E577" s="24" t="s">
        <v>317</v>
      </c>
      <c r="F577" s="21">
        <v>10000</v>
      </c>
      <c r="G577" s="22">
        <v>0</v>
      </c>
      <c r="H577" s="22">
        <v>25</v>
      </c>
      <c r="I577" s="22">
        <v>0</v>
      </c>
      <c r="J577" s="22">
        <v>0</v>
      </c>
      <c r="K577" s="22">
        <f>F577*2.87%</f>
        <v>287</v>
      </c>
      <c r="L577" s="22">
        <f>F577*7.1%</f>
        <v>709.99999999999989</v>
      </c>
      <c r="M577" s="22">
        <v>130</v>
      </c>
      <c r="N577" s="22">
        <v>304</v>
      </c>
      <c r="O577" s="22">
        <v>709</v>
      </c>
      <c r="P577" s="22">
        <v>0</v>
      </c>
      <c r="Q577" s="21">
        <f>K577+N577</f>
        <v>591</v>
      </c>
      <c r="R577" s="21">
        <f>G577+H577+I577+J577+K577+N577+P577</f>
        <v>616</v>
      </c>
      <c r="S577" s="21">
        <f>L577+M577+O577</f>
        <v>1549</v>
      </c>
      <c r="T577" s="21">
        <f>F577-R577</f>
        <v>9384</v>
      </c>
      <c r="U577" s="24" t="s">
        <v>30</v>
      </c>
    </row>
    <row r="578" spans="1:21" ht="15.75" customHeight="1">
      <c r="A578" s="23">
        <v>563</v>
      </c>
      <c r="B578" s="23" t="s">
        <v>679</v>
      </c>
      <c r="C578" s="23" t="s">
        <v>60</v>
      </c>
      <c r="D578" s="23" t="s">
        <v>72</v>
      </c>
      <c r="E578" s="24" t="s">
        <v>29</v>
      </c>
      <c r="F578" s="21">
        <v>36000</v>
      </c>
      <c r="G578" s="22">
        <v>0</v>
      </c>
      <c r="H578" s="22">
        <v>25</v>
      </c>
      <c r="I578" s="22">
        <v>0</v>
      </c>
      <c r="J578" s="22">
        <v>0</v>
      </c>
      <c r="K578" s="22">
        <f>F578*2.87%</f>
        <v>1033.2</v>
      </c>
      <c r="L578" s="22">
        <f>F578*7.1%</f>
        <v>2555.9999999999995</v>
      </c>
      <c r="M578" s="22">
        <v>468</v>
      </c>
      <c r="N578" s="22">
        <v>1094.4000000000001</v>
      </c>
      <c r="O578" s="22">
        <v>2552.4</v>
      </c>
      <c r="P578" s="22">
        <v>0</v>
      </c>
      <c r="Q578" s="21">
        <f>K578+N578</f>
        <v>2127.6000000000004</v>
      </c>
      <c r="R578" s="21">
        <f>G578+H578+I578+J578+K578+N578+P578</f>
        <v>2152.6000000000004</v>
      </c>
      <c r="S578" s="21">
        <f>L578+M578+O578</f>
        <v>5576.4</v>
      </c>
      <c r="T578" s="21">
        <f>F578-R578</f>
        <v>33847.4</v>
      </c>
      <c r="U578" s="24" t="s">
        <v>30</v>
      </c>
    </row>
    <row r="579" spans="1:21" ht="15.75" customHeight="1">
      <c r="A579" s="23">
        <v>564</v>
      </c>
      <c r="B579" s="23" t="s">
        <v>680</v>
      </c>
      <c r="C579" s="23" t="s">
        <v>88</v>
      </c>
      <c r="D579" s="23" t="s">
        <v>58</v>
      </c>
      <c r="E579" s="24" t="s">
        <v>29</v>
      </c>
      <c r="F579" s="21">
        <v>10000</v>
      </c>
      <c r="G579" s="22">
        <v>0</v>
      </c>
      <c r="H579" s="22">
        <v>25</v>
      </c>
      <c r="I579" s="22">
        <v>0</v>
      </c>
      <c r="J579" s="22">
        <v>0</v>
      </c>
      <c r="K579" s="22">
        <f>F579*2.87%</f>
        <v>287</v>
      </c>
      <c r="L579" s="22">
        <f>F579*7.1%</f>
        <v>709.99999999999989</v>
      </c>
      <c r="M579" s="22">
        <v>130</v>
      </c>
      <c r="N579" s="22">
        <v>304</v>
      </c>
      <c r="O579" s="22">
        <v>709</v>
      </c>
      <c r="P579" s="22">
        <v>0</v>
      </c>
      <c r="Q579" s="21">
        <f>K579+N579</f>
        <v>591</v>
      </c>
      <c r="R579" s="21">
        <f>G579+H579+I579+J579+K579+N579+P579</f>
        <v>616</v>
      </c>
      <c r="S579" s="21">
        <f>L579+M579+O579</f>
        <v>1549</v>
      </c>
      <c r="T579" s="21">
        <f>F579-R579</f>
        <v>9384</v>
      </c>
      <c r="U579" s="24" t="s">
        <v>36</v>
      </c>
    </row>
    <row r="580" spans="1:21" ht="15.75" customHeight="1">
      <c r="A580" s="19">
        <v>565</v>
      </c>
      <c r="B580" s="23" t="s">
        <v>681</v>
      </c>
      <c r="C580" s="23" t="s">
        <v>71</v>
      </c>
      <c r="D580" s="23" t="s">
        <v>72</v>
      </c>
      <c r="E580" s="24" t="s">
        <v>317</v>
      </c>
      <c r="F580" s="21">
        <v>10000</v>
      </c>
      <c r="G580" s="22">
        <v>0</v>
      </c>
      <c r="H580" s="22">
        <v>25</v>
      </c>
      <c r="I580" s="22">
        <v>0</v>
      </c>
      <c r="J580" s="22">
        <v>0</v>
      </c>
      <c r="K580" s="22">
        <f>F580*2.87%</f>
        <v>287</v>
      </c>
      <c r="L580" s="22">
        <f>F580*7.1%</f>
        <v>709.99999999999989</v>
      </c>
      <c r="M580" s="22">
        <v>130</v>
      </c>
      <c r="N580" s="22">
        <v>304</v>
      </c>
      <c r="O580" s="22">
        <v>709</v>
      </c>
      <c r="P580" s="22">
        <v>0</v>
      </c>
      <c r="Q580" s="21">
        <f>K580+N580</f>
        <v>591</v>
      </c>
      <c r="R580" s="21">
        <f>G580+H580+I580+J580+K580+N580+P580</f>
        <v>616</v>
      </c>
      <c r="S580" s="21">
        <f>L580+M580+O580</f>
        <v>1549</v>
      </c>
      <c r="T580" s="21">
        <f>F580-R580</f>
        <v>9384</v>
      </c>
      <c r="U580" s="24" t="s">
        <v>36</v>
      </c>
    </row>
    <row r="581" spans="1:21" ht="15.75" customHeight="1">
      <c r="A581" s="23">
        <v>566</v>
      </c>
      <c r="B581" s="23" t="s">
        <v>682</v>
      </c>
      <c r="C581" s="23" t="s">
        <v>63</v>
      </c>
      <c r="D581" s="23" t="s">
        <v>98</v>
      </c>
      <c r="E581" s="24" t="s">
        <v>29</v>
      </c>
      <c r="F581" s="21">
        <v>20000</v>
      </c>
      <c r="G581" s="22">
        <v>0</v>
      </c>
      <c r="H581" s="22">
        <v>25</v>
      </c>
      <c r="I581" s="22">
        <v>0</v>
      </c>
      <c r="J581" s="22">
        <v>0</v>
      </c>
      <c r="K581" s="22">
        <f>F581*2.87%</f>
        <v>574</v>
      </c>
      <c r="L581" s="22">
        <f>F581*7.1%</f>
        <v>1419.9999999999998</v>
      </c>
      <c r="M581" s="22">
        <v>260</v>
      </c>
      <c r="N581" s="22">
        <v>608</v>
      </c>
      <c r="O581" s="22">
        <v>1418</v>
      </c>
      <c r="P581" s="22">
        <v>0</v>
      </c>
      <c r="Q581" s="21">
        <f>K581+N581</f>
        <v>1182</v>
      </c>
      <c r="R581" s="21">
        <f>G581+H581+I581+J581+K581+N581+P581</f>
        <v>1207</v>
      </c>
      <c r="S581" s="21">
        <f>L581+M581+O581</f>
        <v>3098</v>
      </c>
      <c r="T581" s="21">
        <f>F581-R581</f>
        <v>18793</v>
      </c>
      <c r="U581" s="24" t="s">
        <v>30</v>
      </c>
    </row>
    <row r="582" spans="1:21" ht="15.75" customHeight="1">
      <c r="A582" s="23">
        <v>567</v>
      </c>
      <c r="B582" s="23" t="s">
        <v>683</v>
      </c>
      <c r="C582" s="23" t="s">
        <v>232</v>
      </c>
      <c r="D582" s="23" t="s">
        <v>69</v>
      </c>
      <c r="E582" s="24" t="s">
        <v>29</v>
      </c>
      <c r="F582" s="21">
        <v>25000</v>
      </c>
      <c r="G582" s="22">
        <v>0</v>
      </c>
      <c r="H582" s="22">
        <v>25</v>
      </c>
      <c r="I582" s="22">
        <v>0</v>
      </c>
      <c r="J582" s="22">
        <v>0</v>
      </c>
      <c r="K582" s="22">
        <f>F582*2.87%</f>
        <v>717.5</v>
      </c>
      <c r="L582" s="22">
        <f>F582*7.1%</f>
        <v>1774.9999999999998</v>
      </c>
      <c r="M582" s="22">
        <v>325</v>
      </c>
      <c r="N582" s="22">
        <v>760</v>
      </c>
      <c r="O582" s="22">
        <v>1772.5000000000002</v>
      </c>
      <c r="P582" s="22">
        <v>0</v>
      </c>
      <c r="Q582" s="21">
        <f>K582+N582</f>
        <v>1477.5</v>
      </c>
      <c r="R582" s="21">
        <f>G582+H582+I582+J582+K582+N582+P582</f>
        <v>1502.5</v>
      </c>
      <c r="S582" s="21">
        <f>L582+M582+O582</f>
        <v>3872.5</v>
      </c>
      <c r="T582" s="21">
        <f>F582-R582</f>
        <v>23497.5</v>
      </c>
      <c r="U582" s="24" t="s">
        <v>30</v>
      </c>
    </row>
    <row r="583" spans="1:21" ht="15.75" customHeight="1">
      <c r="A583" s="19">
        <v>568</v>
      </c>
      <c r="B583" s="23" t="s">
        <v>684</v>
      </c>
      <c r="C583" s="23" t="s">
        <v>66</v>
      </c>
      <c r="D583" s="23" t="s">
        <v>58</v>
      </c>
      <c r="E583" s="24" t="s">
        <v>29</v>
      </c>
      <c r="F583" s="21">
        <v>25000</v>
      </c>
      <c r="G583" s="22">
        <v>0</v>
      </c>
      <c r="H583" s="22">
        <v>25</v>
      </c>
      <c r="I583" s="22">
        <v>0</v>
      </c>
      <c r="J583" s="22">
        <v>0</v>
      </c>
      <c r="K583" s="22">
        <f>F583*2.87%</f>
        <v>717.5</v>
      </c>
      <c r="L583" s="22">
        <f>F583*7.1%</f>
        <v>1774.9999999999998</v>
      </c>
      <c r="M583" s="22">
        <v>325</v>
      </c>
      <c r="N583" s="22">
        <v>760</v>
      </c>
      <c r="O583" s="22">
        <v>1772.5000000000002</v>
      </c>
      <c r="P583" s="22">
        <v>0</v>
      </c>
      <c r="Q583" s="21">
        <f>K583+N583</f>
        <v>1477.5</v>
      </c>
      <c r="R583" s="21">
        <f>G583+H583+I583+J583+K583+N583+P583</f>
        <v>1502.5</v>
      </c>
      <c r="S583" s="21">
        <f>L583+M583+O583</f>
        <v>3872.5</v>
      </c>
      <c r="T583" s="21">
        <f>F583-R583</f>
        <v>23497.5</v>
      </c>
      <c r="U583" s="24" t="s">
        <v>30</v>
      </c>
    </row>
    <row r="584" spans="1:21" ht="15.75" customHeight="1">
      <c r="A584" s="23">
        <v>569</v>
      </c>
      <c r="B584" s="23" t="s">
        <v>685</v>
      </c>
      <c r="C584" s="23" t="s">
        <v>48</v>
      </c>
      <c r="D584" s="23" t="s">
        <v>58</v>
      </c>
      <c r="E584" s="24" t="s">
        <v>29</v>
      </c>
      <c r="F584" s="21">
        <v>22000</v>
      </c>
      <c r="G584" s="22">
        <v>0</v>
      </c>
      <c r="H584" s="22">
        <v>25</v>
      </c>
      <c r="I584" s="22">
        <v>0</v>
      </c>
      <c r="J584" s="22">
        <v>0</v>
      </c>
      <c r="K584" s="22">
        <f>F584*2.87%</f>
        <v>631.4</v>
      </c>
      <c r="L584" s="22">
        <f>F584*7.1%</f>
        <v>1561.9999999999998</v>
      </c>
      <c r="M584" s="22">
        <v>286</v>
      </c>
      <c r="N584" s="22">
        <v>668.8</v>
      </c>
      <c r="O584" s="22">
        <v>1559.8000000000002</v>
      </c>
      <c r="P584" s="22">
        <v>0</v>
      </c>
      <c r="Q584" s="21">
        <f>K584+N584</f>
        <v>1300.1999999999998</v>
      </c>
      <c r="R584" s="21">
        <f>G584+H584+I584+J584+K584+N584+P584</f>
        <v>1325.1999999999998</v>
      </c>
      <c r="S584" s="21">
        <f>L584+M584+O584</f>
        <v>3407.8</v>
      </c>
      <c r="T584" s="21">
        <f>F584-R584</f>
        <v>20674.8</v>
      </c>
      <c r="U584" s="24" t="s">
        <v>36</v>
      </c>
    </row>
    <row r="585" spans="1:21" ht="15.75" customHeight="1">
      <c r="A585" s="23">
        <v>570</v>
      </c>
      <c r="B585" s="23" t="s">
        <v>686</v>
      </c>
      <c r="C585" s="23" t="s">
        <v>495</v>
      </c>
      <c r="D585" s="23" t="s">
        <v>72</v>
      </c>
      <c r="E585" s="24" t="s">
        <v>29</v>
      </c>
      <c r="F585" s="21">
        <v>15000</v>
      </c>
      <c r="G585" s="22">
        <v>0</v>
      </c>
      <c r="H585" s="22">
        <v>25</v>
      </c>
      <c r="I585" s="22">
        <v>0</v>
      </c>
      <c r="J585" s="22">
        <f>700+500+2009.92</f>
        <v>3209.92</v>
      </c>
      <c r="K585" s="22">
        <f>F585*2.87%</f>
        <v>430.5</v>
      </c>
      <c r="L585" s="22">
        <f>F585*7.1%</f>
        <v>1065</v>
      </c>
      <c r="M585" s="22">
        <v>195</v>
      </c>
      <c r="N585" s="22">
        <v>456</v>
      </c>
      <c r="O585" s="22">
        <v>1063.5</v>
      </c>
      <c r="P585" s="22">
        <v>0</v>
      </c>
      <c r="Q585" s="21">
        <f>K585+N585</f>
        <v>886.5</v>
      </c>
      <c r="R585" s="21">
        <f>G585+H585+I585+J585+K585+N585+P585</f>
        <v>4121.42</v>
      </c>
      <c r="S585" s="21">
        <f>L585+M585+O585</f>
        <v>2323.5</v>
      </c>
      <c r="T585" s="21">
        <f>F585-R585</f>
        <v>10878.58</v>
      </c>
      <c r="U585" s="24" t="s">
        <v>36</v>
      </c>
    </row>
    <row r="586" spans="1:21" ht="15.75" customHeight="1">
      <c r="A586" s="19">
        <v>571</v>
      </c>
      <c r="B586" s="23" t="s">
        <v>687</v>
      </c>
      <c r="C586" s="23" t="s">
        <v>71</v>
      </c>
      <c r="D586" s="23" t="s">
        <v>52</v>
      </c>
      <c r="E586" s="24" t="s">
        <v>29</v>
      </c>
      <c r="F586" s="21">
        <v>10000</v>
      </c>
      <c r="G586" s="22">
        <v>0</v>
      </c>
      <c r="H586" s="22">
        <v>25</v>
      </c>
      <c r="I586" s="22">
        <v>0</v>
      </c>
      <c r="J586" s="22">
        <f>1000+1847.11</f>
        <v>2847.1099999999997</v>
      </c>
      <c r="K586" s="22">
        <f>F586*2.87%</f>
        <v>287</v>
      </c>
      <c r="L586" s="22">
        <f>F586*7.1%</f>
        <v>709.99999999999989</v>
      </c>
      <c r="M586" s="22">
        <v>130</v>
      </c>
      <c r="N586" s="22">
        <v>304</v>
      </c>
      <c r="O586" s="22">
        <v>709</v>
      </c>
      <c r="P586" s="22">
        <v>0</v>
      </c>
      <c r="Q586" s="21">
        <f>K586+N586</f>
        <v>591</v>
      </c>
      <c r="R586" s="21">
        <f>G586+H586+I586+J586+K586+N586+P586</f>
        <v>3463.1099999999997</v>
      </c>
      <c r="S586" s="21">
        <f>L586+M586+O586</f>
        <v>1549</v>
      </c>
      <c r="T586" s="21">
        <f>F586-R586</f>
        <v>6536.89</v>
      </c>
      <c r="U586" s="24" t="s">
        <v>36</v>
      </c>
    </row>
    <row r="587" spans="1:21" ht="15.75" customHeight="1">
      <c r="A587" s="23">
        <v>572</v>
      </c>
      <c r="B587" s="23" t="s">
        <v>688</v>
      </c>
      <c r="C587" s="23" t="s">
        <v>88</v>
      </c>
      <c r="D587" s="23" t="s">
        <v>689</v>
      </c>
      <c r="E587" s="24" t="s">
        <v>29</v>
      </c>
      <c r="F587" s="21">
        <v>10000</v>
      </c>
      <c r="G587" s="22">
        <v>0</v>
      </c>
      <c r="H587" s="22">
        <v>25</v>
      </c>
      <c r="I587" s="22">
        <v>0</v>
      </c>
      <c r="J587" s="22">
        <v>0</v>
      </c>
      <c r="K587" s="22">
        <f>F587*2.87%</f>
        <v>287</v>
      </c>
      <c r="L587" s="22">
        <f>F587*7.1%</f>
        <v>709.99999999999989</v>
      </c>
      <c r="M587" s="22">
        <v>130</v>
      </c>
      <c r="N587" s="22">
        <v>304</v>
      </c>
      <c r="O587" s="22">
        <v>709</v>
      </c>
      <c r="P587" s="22">
        <v>0</v>
      </c>
      <c r="Q587" s="21">
        <f>K587+N587</f>
        <v>591</v>
      </c>
      <c r="R587" s="21">
        <f>G587+H587+I587+J587+K587+N587+P587</f>
        <v>616</v>
      </c>
      <c r="S587" s="21">
        <f>L587+M587+O587</f>
        <v>1549</v>
      </c>
      <c r="T587" s="21">
        <f>F587-R587</f>
        <v>9384</v>
      </c>
      <c r="U587" s="24" t="s">
        <v>30</v>
      </c>
    </row>
    <row r="588" spans="1:21" ht="15.75" customHeight="1">
      <c r="A588" s="23">
        <v>573</v>
      </c>
      <c r="B588" s="23" t="s">
        <v>690</v>
      </c>
      <c r="C588" s="23" t="s">
        <v>51</v>
      </c>
      <c r="D588" s="23" t="s">
        <v>52</v>
      </c>
      <c r="E588" s="24" t="s">
        <v>29</v>
      </c>
      <c r="F588" s="21">
        <v>13500</v>
      </c>
      <c r="G588" s="22">
        <v>0</v>
      </c>
      <c r="H588" s="22">
        <v>25</v>
      </c>
      <c r="I588" s="22">
        <v>0</v>
      </c>
      <c r="J588" s="22">
        <v>0</v>
      </c>
      <c r="K588" s="22">
        <f>F588*2.87%</f>
        <v>387.45</v>
      </c>
      <c r="L588" s="22">
        <f>F588*7.1%</f>
        <v>958.49999999999989</v>
      </c>
      <c r="M588" s="22">
        <v>175.5</v>
      </c>
      <c r="N588" s="22">
        <v>410.4</v>
      </c>
      <c r="O588" s="22">
        <v>957.15000000000009</v>
      </c>
      <c r="P588" s="22">
        <v>0</v>
      </c>
      <c r="Q588" s="21">
        <f>K588+N588</f>
        <v>797.84999999999991</v>
      </c>
      <c r="R588" s="21">
        <f>G588+H588+I588+J588+K588+N588+P588</f>
        <v>822.84999999999991</v>
      </c>
      <c r="S588" s="21">
        <f>L588+M588+O588</f>
        <v>2091.15</v>
      </c>
      <c r="T588" s="21">
        <f>F588-R588</f>
        <v>12677.15</v>
      </c>
      <c r="U588" s="24" t="s">
        <v>30</v>
      </c>
    </row>
    <row r="589" spans="1:21" ht="15.75" customHeight="1">
      <c r="A589" s="19">
        <v>574</v>
      </c>
      <c r="B589" s="23" t="s">
        <v>691</v>
      </c>
      <c r="C589" s="23" t="s">
        <v>535</v>
      </c>
      <c r="D589" s="23" t="s">
        <v>98</v>
      </c>
      <c r="E589" s="24" t="s">
        <v>29</v>
      </c>
      <c r="F589" s="21">
        <v>20000</v>
      </c>
      <c r="G589" s="22">
        <v>0</v>
      </c>
      <c r="H589" s="22">
        <v>25</v>
      </c>
      <c r="I589" s="22">
        <v>0</v>
      </c>
      <c r="J589" s="22">
        <f>1000+1312.77</f>
        <v>2312.77</v>
      </c>
      <c r="K589" s="22">
        <f>F589*2.87%</f>
        <v>574</v>
      </c>
      <c r="L589" s="22">
        <f>F589*7.1%</f>
        <v>1419.9999999999998</v>
      </c>
      <c r="M589" s="22">
        <v>260</v>
      </c>
      <c r="N589" s="22">
        <v>608</v>
      </c>
      <c r="O589" s="22">
        <v>1418</v>
      </c>
      <c r="P589" s="22">
        <v>0</v>
      </c>
      <c r="Q589" s="21">
        <f>K589+N589</f>
        <v>1182</v>
      </c>
      <c r="R589" s="21">
        <f>G589+H589+I589+J589+K589+N589+P589</f>
        <v>3519.77</v>
      </c>
      <c r="S589" s="21">
        <f>L589+M589+O589</f>
        <v>3098</v>
      </c>
      <c r="T589" s="21">
        <f>F589-R589</f>
        <v>16480.23</v>
      </c>
      <c r="U589" s="24" t="s">
        <v>30</v>
      </c>
    </row>
    <row r="590" spans="1:21" ht="15.75" customHeight="1">
      <c r="A590" s="23">
        <v>575</v>
      </c>
      <c r="B590" s="23" t="s">
        <v>692</v>
      </c>
      <c r="C590" s="23" t="s">
        <v>88</v>
      </c>
      <c r="D590" s="23" t="s">
        <v>28</v>
      </c>
      <c r="E590" s="24" t="s">
        <v>317</v>
      </c>
      <c r="F590" s="21">
        <v>10000</v>
      </c>
      <c r="G590" s="22">
        <v>0</v>
      </c>
      <c r="H590" s="22">
        <v>25</v>
      </c>
      <c r="I590" s="22">
        <v>0</v>
      </c>
      <c r="J590" s="22">
        <v>0</v>
      </c>
      <c r="K590" s="22">
        <f>F590*2.87%</f>
        <v>287</v>
      </c>
      <c r="L590" s="22">
        <f>F590*7.1%</f>
        <v>709.99999999999989</v>
      </c>
      <c r="M590" s="22">
        <v>130</v>
      </c>
      <c r="N590" s="22">
        <v>304</v>
      </c>
      <c r="O590" s="22">
        <v>709</v>
      </c>
      <c r="P590" s="22">
        <v>0</v>
      </c>
      <c r="Q590" s="21">
        <f>K590+N590</f>
        <v>591</v>
      </c>
      <c r="R590" s="21">
        <f>G590+H590+I590+J590+K590+N590+P590</f>
        <v>616</v>
      </c>
      <c r="S590" s="21">
        <f>L590+M590+O590</f>
        <v>1549</v>
      </c>
      <c r="T590" s="21">
        <f>F590-R590</f>
        <v>9384</v>
      </c>
      <c r="U590" s="24" t="s">
        <v>30</v>
      </c>
    </row>
    <row r="591" spans="1:21" ht="15.75" customHeight="1">
      <c r="A591" s="23">
        <v>576</v>
      </c>
      <c r="B591" s="23" t="s">
        <v>693</v>
      </c>
      <c r="C591" s="23" t="s">
        <v>96</v>
      </c>
      <c r="D591" s="23" t="s">
        <v>49</v>
      </c>
      <c r="E591" s="24" t="s">
        <v>29</v>
      </c>
      <c r="F591" s="21">
        <v>12000</v>
      </c>
      <c r="G591" s="22">
        <v>0</v>
      </c>
      <c r="H591" s="22">
        <v>25</v>
      </c>
      <c r="I591" s="22">
        <v>0</v>
      </c>
      <c r="J591" s="22">
        <f>1000+300+5838.33</f>
        <v>7138.33</v>
      </c>
      <c r="K591" s="22">
        <f>F591*2.87%</f>
        <v>344.4</v>
      </c>
      <c r="L591" s="22">
        <f>F591*7.1%</f>
        <v>851.99999999999989</v>
      </c>
      <c r="M591" s="22">
        <v>156</v>
      </c>
      <c r="N591" s="22">
        <v>364.8</v>
      </c>
      <c r="O591" s="22">
        <v>850.80000000000007</v>
      </c>
      <c r="P591" s="22">
        <v>0</v>
      </c>
      <c r="Q591" s="21">
        <f>K591+N591</f>
        <v>709.2</v>
      </c>
      <c r="R591" s="21">
        <f>G591+H591+I591+J591+K591+N591+P591</f>
        <v>7872.53</v>
      </c>
      <c r="S591" s="21">
        <f>L591+M591+O591</f>
        <v>1858.8</v>
      </c>
      <c r="T591" s="21">
        <f>F591-R591</f>
        <v>4127.47</v>
      </c>
      <c r="U591" s="24" t="s">
        <v>30</v>
      </c>
    </row>
    <row r="592" spans="1:21" ht="15.75" customHeight="1">
      <c r="A592" s="19">
        <v>577</v>
      </c>
      <c r="B592" s="23" t="s">
        <v>694</v>
      </c>
      <c r="C592" s="23" t="s">
        <v>695</v>
      </c>
      <c r="D592" s="23" t="s">
        <v>571</v>
      </c>
      <c r="E592" s="24" t="s">
        <v>29</v>
      </c>
      <c r="F592" s="21">
        <v>90000</v>
      </c>
      <c r="G592" s="22">
        <v>9753.1200000000008</v>
      </c>
      <c r="H592" s="22">
        <v>25</v>
      </c>
      <c r="I592" s="22">
        <v>0</v>
      </c>
      <c r="J592" s="22">
        <v>0</v>
      </c>
      <c r="K592" s="22">
        <f>F592*2.87%</f>
        <v>2583</v>
      </c>
      <c r="L592" s="22">
        <f>F592*7.1%</f>
        <v>6389.9999999999991</v>
      </c>
      <c r="M592" s="22">
        <v>972.5</v>
      </c>
      <c r="N592" s="22">
        <v>2736</v>
      </c>
      <c r="O592" s="22">
        <v>6381</v>
      </c>
      <c r="P592" s="22">
        <v>0</v>
      </c>
      <c r="Q592" s="21">
        <f>K592+N592</f>
        <v>5319</v>
      </c>
      <c r="R592" s="21">
        <f>G592+H592+I592+J592+K592+N592+P592</f>
        <v>15097.12</v>
      </c>
      <c r="S592" s="21">
        <f>L592+M592+O592</f>
        <v>13743.5</v>
      </c>
      <c r="T592" s="21">
        <f>F592-R592</f>
        <v>74902.880000000005</v>
      </c>
      <c r="U592" s="24" t="s">
        <v>36</v>
      </c>
    </row>
    <row r="593" spans="1:21" ht="15.75" customHeight="1">
      <c r="A593" s="23">
        <v>578</v>
      </c>
      <c r="B593" s="23" t="s">
        <v>696</v>
      </c>
      <c r="C593" s="23" t="s">
        <v>358</v>
      </c>
      <c r="D593" s="23" t="s">
        <v>78</v>
      </c>
      <c r="E593" s="24" t="s">
        <v>29</v>
      </c>
      <c r="F593" s="21">
        <v>10000</v>
      </c>
      <c r="G593" s="22">
        <v>0</v>
      </c>
      <c r="H593" s="22">
        <v>25</v>
      </c>
      <c r="I593" s="22">
        <v>0</v>
      </c>
      <c r="J593" s="22">
        <v>0</v>
      </c>
      <c r="K593" s="22">
        <f>F593*2.87%</f>
        <v>287</v>
      </c>
      <c r="L593" s="22">
        <f>F593*7.1%</f>
        <v>709.99999999999989</v>
      </c>
      <c r="M593" s="22">
        <v>130</v>
      </c>
      <c r="N593" s="22">
        <v>304</v>
      </c>
      <c r="O593" s="22">
        <v>709</v>
      </c>
      <c r="P593" s="22">
        <v>0</v>
      </c>
      <c r="Q593" s="21">
        <f>K593+N593</f>
        <v>591</v>
      </c>
      <c r="R593" s="21">
        <f>G593+H593+I593+J593+K593+N593+P593</f>
        <v>616</v>
      </c>
      <c r="S593" s="21">
        <f>L593+M593+O593</f>
        <v>1549</v>
      </c>
      <c r="T593" s="21">
        <f>F593-R593</f>
        <v>9384</v>
      </c>
      <c r="U593" s="24" t="s">
        <v>30</v>
      </c>
    </row>
    <row r="594" spans="1:21" ht="15.75" customHeight="1">
      <c r="A594" s="23">
        <v>579</v>
      </c>
      <c r="B594" s="23" t="s">
        <v>697</v>
      </c>
      <c r="C594" s="23" t="s">
        <v>66</v>
      </c>
      <c r="D594" s="23" t="s">
        <v>72</v>
      </c>
      <c r="E594" s="24" t="s">
        <v>29</v>
      </c>
      <c r="F594" s="21">
        <v>12000</v>
      </c>
      <c r="G594" s="22">
        <v>0</v>
      </c>
      <c r="H594" s="22">
        <v>25</v>
      </c>
      <c r="I594" s="22">
        <v>0</v>
      </c>
      <c r="J594" s="22">
        <f>1000+300+2624.34</f>
        <v>3924.34</v>
      </c>
      <c r="K594" s="22">
        <f>F594*2.87%</f>
        <v>344.4</v>
      </c>
      <c r="L594" s="22">
        <f>F594*7.1%</f>
        <v>851.99999999999989</v>
      </c>
      <c r="M594" s="22">
        <v>156</v>
      </c>
      <c r="N594" s="22">
        <v>364.8</v>
      </c>
      <c r="O594" s="22">
        <v>850.80000000000007</v>
      </c>
      <c r="P594" s="22">
        <v>0</v>
      </c>
      <c r="Q594" s="21">
        <f>K594+N594</f>
        <v>709.2</v>
      </c>
      <c r="R594" s="21">
        <f>G594+H594+I594+J594+K594+N594+P594</f>
        <v>4658.54</v>
      </c>
      <c r="S594" s="21">
        <f>L594+M594+O594</f>
        <v>1858.8</v>
      </c>
      <c r="T594" s="21">
        <f>F594-R594</f>
        <v>7341.46</v>
      </c>
      <c r="U594" s="24" t="s">
        <v>36</v>
      </c>
    </row>
    <row r="595" spans="1:21" ht="15.75" customHeight="1">
      <c r="A595" s="19">
        <v>580</v>
      </c>
      <c r="B595" s="23" t="s">
        <v>698</v>
      </c>
      <c r="C595" s="23" t="s">
        <v>68</v>
      </c>
      <c r="D595" s="23" t="s">
        <v>61</v>
      </c>
      <c r="E595" s="24" t="s">
        <v>29</v>
      </c>
      <c r="F595" s="21">
        <v>20000</v>
      </c>
      <c r="G595" s="22">
        <v>0</v>
      </c>
      <c r="H595" s="22">
        <v>25</v>
      </c>
      <c r="I595" s="22">
        <v>0</v>
      </c>
      <c r="J595" s="22">
        <f>1200+300+1223.9</f>
        <v>2723.9</v>
      </c>
      <c r="K595" s="22">
        <f>F595*2.87%</f>
        <v>574</v>
      </c>
      <c r="L595" s="22">
        <f>F595*7.1%</f>
        <v>1419.9999999999998</v>
      </c>
      <c r="M595" s="22">
        <v>260</v>
      </c>
      <c r="N595" s="22">
        <v>608</v>
      </c>
      <c r="O595" s="22">
        <v>1418</v>
      </c>
      <c r="P595" s="22">
        <v>0</v>
      </c>
      <c r="Q595" s="21">
        <f>K595+N595</f>
        <v>1182</v>
      </c>
      <c r="R595" s="21">
        <f>G595+H595+I595+J595+K595+N595+P595</f>
        <v>3930.9</v>
      </c>
      <c r="S595" s="21">
        <f>L595+M595+O595</f>
        <v>3098</v>
      </c>
      <c r="T595" s="21">
        <f>F595-R595</f>
        <v>16069.1</v>
      </c>
      <c r="U595" s="24" t="s">
        <v>36</v>
      </c>
    </row>
    <row r="596" spans="1:21" ht="15.75" customHeight="1">
      <c r="A596" s="23">
        <v>581</v>
      </c>
      <c r="B596" s="23" t="s">
        <v>699</v>
      </c>
      <c r="C596" s="23" t="s">
        <v>176</v>
      </c>
      <c r="D596" s="23" t="s">
        <v>177</v>
      </c>
      <c r="E596" s="24" t="s">
        <v>29</v>
      </c>
      <c r="F596" s="21">
        <v>15000</v>
      </c>
      <c r="G596" s="22">
        <v>0</v>
      </c>
      <c r="H596" s="22">
        <v>25</v>
      </c>
      <c r="I596" s="22">
        <v>0</v>
      </c>
      <c r="J596" s="22">
        <v>0</v>
      </c>
      <c r="K596" s="22">
        <f>F596*2.87%</f>
        <v>430.5</v>
      </c>
      <c r="L596" s="22">
        <f>F596*7.1%</f>
        <v>1065</v>
      </c>
      <c r="M596" s="22">
        <v>195</v>
      </c>
      <c r="N596" s="22">
        <v>456</v>
      </c>
      <c r="O596" s="22">
        <v>1063.5</v>
      </c>
      <c r="P596" s="22">
        <v>0</v>
      </c>
      <c r="Q596" s="21">
        <f>K596+N596</f>
        <v>886.5</v>
      </c>
      <c r="R596" s="21">
        <f>G596+H596+I596+J596+K596+N596+P596</f>
        <v>911.5</v>
      </c>
      <c r="S596" s="21">
        <f>L596+M596+O596</f>
        <v>2323.5</v>
      </c>
      <c r="T596" s="21">
        <f>F596-R596</f>
        <v>14088.5</v>
      </c>
      <c r="U596" s="24" t="s">
        <v>30</v>
      </c>
    </row>
    <row r="597" spans="1:21" ht="15.75" customHeight="1">
      <c r="A597" s="23">
        <v>582</v>
      </c>
      <c r="B597" s="23" t="s">
        <v>700</v>
      </c>
      <c r="C597" s="23" t="s">
        <v>68</v>
      </c>
      <c r="D597" s="23" t="s">
        <v>49</v>
      </c>
      <c r="E597" s="24" t="s">
        <v>29</v>
      </c>
      <c r="F597" s="21">
        <v>20000</v>
      </c>
      <c r="G597" s="22">
        <v>0</v>
      </c>
      <c r="H597" s="22">
        <v>25</v>
      </c>
      <c r="I597" s="22">
        <v>0</v>
      </c>
      <c r="J597" s="22">
        <f>1000+300</f>
        <v>1300</v>
      </c>
      <c r="K597" s="22">
        <f>F597*2.87%</f>
        <v>574</v>
      </c>
      <c r="L597" s="22">
        <f>F597*7.1%</f>
        <v>1419.9999999999998</v>
      </c>
      <c r="M597" s="22">
        <v>260</v>
      </c>
      <c r="N597" s="22">
        <v>608</v>
      </c>
      <c r="O597" s="22">
        <v>1418</v>
      </c>
      <c r="P597" s="22">
        <v>0</v>
      </c>
      <c r="Q597" s="21">
        <f>K597+N597</f>
        <v>1182</v>
      </c>
      <c r="R597" s="21">
        <f>G597+H597+I597+J597+K597+N597+P597</f>
        <v>2507</v>
      </c>
      <c r="S597" s="21">
        <f>L597+M597+O597</f>
        <v>3098</v>
      </c>
      <c r="T597" s="21">
        <f>F597-R597</f>
        <v>17493</v>
      </c>
      <c r="U597" s="24" t="s">
        <v>30</v>
      </c>
    </row>
    <row r="598" spans="1:21" ht="15.75" customHeight="1">
      <c r="A598" s="19">
        <v>583</v>
      </c>
      <c r="B598" s="23" t="s">
        <v>701</v>
      </c>
      <c r="C598" s="23" t="s">
        <v>77</v>
      </c>
      <c r="D598" s="23" t="s">
        <v>61</v>
      </c>
      <c r="E598" s="24" t="s">
        <v>29</v>
      </c>
      <c r="F598" s="21">
        <v>12000</v>
      </c>
      <c r="G598" s="22">
        <v>0</v>
      </c>
      <c r="H598" s="22">
        <v>25</v>
      </c>
      <c r="I598" s="22">
        <v>0</v>
      </c>
      <c r="J598" s="22">
        <v>0</v>
      </c>
      <c r="K598" s="22">
        <f>F598*2.87%</f>
        <v>344.4</v>
      </c>
      <c r="L598" s="22">
        <f>F598*7.1%</f>
        <v>851.99999999999989</v>
      </c>
      <c r="M598" s="22">
        <v>156</v>
      </c>
      <c r="N598" s="22">
        <v>364.8</v>
      </c>
      <c r="O598" s="22">
        <v>850.80000000000007</v>
      </c>
      <c r="P598" s="22">
        <v>0</v>
      </c>
      <c r="Q598" s="21">
        <f>K598+N598</f>
        <v>709.2</v>
      </c>
      <c r="R598" s="21">
        <f>G598+H598+I598+J598+K598+N598+P598</f>
        <v>734.2</v>
      </c>
      <c r="S598" s="21">
        <f>L598+M598+O598</f>
        <v>1858.8</v>
      </c>
      <c r="T598" s="21">
        <f>F598-R598</f>
        <v>11265.8</v>
      </c>
      <c r="U598" s="24" t="s">
        <v>30</v>
      </c>
    </row>
    <row r="599" spans="1:21" ht="15.75" customHeight="1">
      <c r="A599" s="23">
        <v>584</v>
      </c>
      <c r="B599" s="23" t="s">
        <v>702</v>
      </c>
      <c r="C599" s="23" t="s">
        <v>88</v>
      </c>
      <c r="D599" s="23" t="s">
        <v>61</v>
      </c>
      <c r="E599" s="24" t="s">
        <v>29</v>
      </c>
      <c r="F599" s="21">
        <v>10000</v>
      </c>
      <c r="G599" s="22">
        <v>0</v>
      </c>
      <c r="H599" s="22">
        <v>25</v>
      </c>
      <c r="I599" s="22">
        <v>0</v>
      </c>
      <c r="J599" s="22">
        <v>0</v>
      </c>
      <c r="K599" s="22">
        <f>F599*2.87%</f>
        <v>287</v>
      </c>
      <c r="L599" s="22">
        <f>F599*7.1%</f>
        <v>709.99999999999989</v>
      </c>
      <c r="M599" s="22">
        <v>130</v>
      </c>
      <c r="N599" s="22">
        <v>304</v>
      </c>
      <c r="O599" s="22">
        <v>709</v>
      </c>
      <c r="P599" s="22">
        <v>0</v>
      </c>
      <c r="Q599" s="21">
        <f>K599+N599</f>
        <v>591</v>
      </c>
      <c r="R599" s="21">
        <f>G599+H599+I599+J599+K599+N599+P599</f>
        <v>616</v>
      </c>
      <c r="S599" s="21">
        <f>L599+M599+O599</f>
        <v>1549</v>
      </c>
      <c r="T599" s="21">
        <f>F599-R599</f>
        <v>9384</v>
      </c>
      <c r="U599" s="24" t="s">
        <v>30</v>
      </c>
    </row>
    <row r="600" spans="1:21" ht="15.75" customHeight="1">
      <c r="A600" s="23">
        <v>585</v>
      </c>
      <c r="B600" s="23" t="s">
        <v>703</v>
      </c>
      <c r="C600" s="23" t="s">
        <v>704</v>
      </c>
      <c r="D600" s="23" t="s">
        <v>28</v>
      </c>
      <c r="E600" s="24" t="s">
        <v>317</v>
      </c>
      <c r="F600" s="21">
        <v>45000</v>
      </c>
      <c r="G600" s="22">
        <v>1148.33</v>
      </c>
      <c r="H600" s="22">
        <v>25</v>
      </c>
      <c r="I600" s="22">
        <v>0</v>
      </c>
      <c r="J600" s="22">
        <v>0</v>
      </c>
      <c r="K600" s="22">
        <f>F600*2.87%</f>
        <v>1291.5</v>
      </c>
      <c r="L600" s="22">
        <f>F600*7.1%</f>
        <v>3194.9999999999995</v>
      </c>
      <c r="M600" s="22">
        <v>585</v>
      </c>
      <c r="N600" s="22">
        <v>1368</v>
      </c>
      <c r="O600" s="22">
        <v>3190.5</v>
      </c>
      <c r="P600" s="22">
        <v>0</v>
      </c>
      <c r="Q600" s="21">
        <f>K600+N600</f>
        <v>2659.5</v>
      </c>
      <c r="R600" s="21">
        <f>G600+H600+I600+J600+K600+N600+P600</f>
        <v>3832.83</v>
      </c>
      <c r="S600" s="21">
        <f>L600+M600+O600</f>
        <v>6970.5</v>
      </c>
      <c r="T600" s="21">
        <f>F600-R600</f>
        <v>41167.17</v>
      </c>
      <c r="U600" s="24" t="s">
        <v>30</v>
      </c>
    </row>
    <row r="601" spans="1:21" ht="15.75" customHeight="1">
      <c r="A601" s="19">
        <v>586</v>
      </c>
      <c r="B601" s="23" t="s">
        <v>705</v>
      </c>
      <c r="C601" s="23" t="s">
        <v>48</v>
      </c>
      <c r="D601" s="23" t="s">
        <v>98</v>
      </c>
      <c r="E601" s="24" t="s">
        <v>29</v>
      </c>
      <c r="F601" s="21">
        <v>25000</v>
      </c>
      <c r="G601" s="22">
        <v>0</v>
      </c>
      <c r="H601" s="22">
        <v>25</v>
      </c>
      <c r="I601" s="22">
        <v>0</v>
      </c>
      <c r="J601" s="22">
        <v>0</v>
      </c>
      <c r="K601" s="22">
        <f>F601*2.87%</f>
        <v>717.5</v>
      </c>
      <c r="L601" s="22">
        <f>F601*7.1%</f>
        <v>1774.9999999999998</v>
      </c>
      <c r="M601" s="22">
        <v>325</v>
      </c>
      <c r="N601" s="22">
        <v>760</v>
      </c>
      <c r="O601" s="22">
        <v>1772.5000000000002</v>
      </c>
      <c r="P601" s="22">
        <v>0</v>
      </c>
      <c r="Q601" s="21">
        <f>K601+N601</f>
        <v>1477.5</v>
      </c>
      <c r="R601" s="21">
        <f>G601+H601+I601+J601+K601+N601+P601</f>
        <v>1502.5</v>
      </c>
      <c r="S601" s="21">
        <f>L601+M601+O601</f>
        <v>3872.5</v>
      </c>
      <c r="T601" s="21">
        <f>F601-R601</f>
        <v>23497.5</v>
      </c>
      <c r="U601" s="24" t="s">
        <v>36</v>
      </c>
    </row>
    <row r="602" spans="1:21" ht="15.75" customHeight="1">
      <c r="A602" s="23">
        <v>587</v>
      </c>
      <c r="B602" s="23" t="s">
        <v>706</v>
      </c>
      <c r="C602" s="23" t="s">
        <v>60</v>
      </c>
      <c r="D602" s="23" t="s">
        <v>61</v>
      </c>
      <c r="E602" s="24" t="s">
        <v>29</v>
      </c>
      <c r="F602" s="21">
        <v>25000</v>
      </c>
      <c r="G602" s="22">
        <v>0</v>
      </c>
      <c r="H602" s="22">
        <v>25</v>
      </c>
      <c r="I602" s="22">
        <v>0</v>
      </c>
      <c r="J602" s="22">
        <v>0</v>
      </c>
      <c r="K602" s="22">
        <f>F602*2.87%</f>
        <v>717.5</v>
      </c>
      <c r="L602" s="22">
        <f>F602*7.1%</f>
        <v>1774.9999999999998</v>
      </c>
      <c r="M602" s="22">
        <v>325</v>
      </c>
      <c r="N602" s="22">
        <v>760</v>
      </c>
      <c r="O602" s="22">
        <v>1772.5000000000002</v>
      </c>
      <c r="P602" s="22">
        <v>0</v>
      </c>
      <c r="Q602" s="21">
        <f>K602+N602</f>
        <v>1477.5</v>
      </c>
      <c r="R602" s="21">
        <f>G602+H602+I602+J602+K602+N602+P602</f>
        <v>1502.5</v>
      </c>
      <c r="S602" s="21">
        <f>L602+M602+O602</f>
        <v>3872.5</v>
      </c>
      <c r="T602" s="21">
        <f>F602-R602</f>
        <v>23497.5</v>
      </c>
      <c r="U602" s="24" t="s">
        <v>30</v>
      </c>
    </row>
    <row r="603" spans="1:21" ht="15.75" customHeight="1">
      <c r="A603" s="23">
        <v>588</v>
      </c>
      <c r="B603" s="23" t="s">
        <v>707</v>
      </c>
      <c r="C603" s="23" t="s">
        <v>63</v>
      </c>
      <c r="D603" s="23" t="s">
        <v>98</v>
      </c>
      <c r="E603" s="24" t="s">
        <v>29</v>
      </c>
      <c r="F603" s="21">
        <v>20000</v>
      </c>
      <c r="G603" s="22">
        <v>0</v>
      </c>
      <c r="H603" s="22">
        <v>25</v>
      </c>
      <c r="I603" s="22">
        <v>0</v>
      </c>
      <c r="J603" s="22">
        <f>800+300+2279.52+7518.08</f>
        <v>10897.6</v>
      </c>
      <c r="K603" s="22">
        <f>F603*2.87%</f>
        <v>574</v>
      </c>
      <c r="L603" s="22">
        <f>F603*7.1%</f>
        <v>1419.9999999999998</v>
      </c>
      <c r="M603" s="22">
        <v>260</v>
      </c>
      <c r="N603" s="22">
        <v>608</v>
      </c>
      <c r="O603" s="22">
        <v>1418</v>
      </c>
      <c r="P603" s="22">
        <v>0</v>
      </c>
      <c r="Q603" s="21">
        <f>K603+N603</f>
        <v>1182</v>
      </c>
      <c r="R603" s="21">
        <f>G603+H603+I603+J603+K603+N603+P603</f>
        <v>12104.6</v>
      </c>
      <c r="S603" s="21">
        <f>L603+M603+O603</f>
        <v>3098</v>
      </c>
      <c r="T603" s="21">
        <f>F603-R603</f>
        <v>7895.4</v>
      </c>
      <c r="U603" s="24" t="s">
        <v>30</v>
      </c>
    </row>
    <row r="604" spans="1:21" ht="15.75" customHeight="1">
      <c r="A604" s="19">
        <v>589</v>
      </c>
      <c r="B604" s="23" t="s">
        <v>708</v>
      </c>
      <c r="C604" s="23" t="s">
        <v>358</v>
      </c>
      <c r="D604" s="23" t="s">
        <v>78</v>
      </c>
      <c r="E604" s="24" t="s">
        <v>29</v>
      </c>
      <c r="F604" s="21">
        <v>10000</v>
      </c>
      <c r="G604" s="22">
        <v>0</v>
      </c>
      <c r="H604" s="22">
        <v>25</v>
      </c>
      <c r="I604" s="22">
        <v>0</v>
      </c>
      <c r="J604" s="22">
        <v>0</v>
      </c>
      <c r="K604" s="22">
        <f>F604*2.87%</f>
        <v>287</v>
      </c>
      <c r="L604" s="22">
        <f>F604*7.1%</f>
        <v>709.99999999999989</v>
      </c>
      <c r="M604" s="22">
        <v>130</v>
      </c>
      <c r="N604" s="22">
        <v>304</v>
      </c>
      <c r="O604" s="22">
        <v>709</v>
      </c>
      <c r="P604" s="22">
        <v>0</v>
      </c>
      <c r="Q604" s="21">
        <f>K604+N604</f>
        <v>591</v>
      </c>
      <c r="R604" s="21">
        <f>G604+H604+I604+J604+K604+N604+P604</f>
        <v>616</v>
      </c>
      <c r="S604" s="21">
        <f>L604+M604+O604</f>
        <v>1549</v>
      </c>
      <c r="T604" s="21">
        <f>F604-R604</f>
        <v>9384</v>
      </c>
      <c r="U604" s="24" t="s">
        <v>30</v>
      </c>
    </row>
    <row r="605" spans="1:21" ht="15.75" customHeight="1">
      <c r="A605" s="23">
        <v>590</v>
      </c>
      <c r="B605" s="23" t="s">
        <v>709</v>
      </c>
      <c r="C605" s="23" t="s">
        <v>88</v>
      </c>
      <c r="D605" s="23" t="s">
        <v>58</v>
      </c>
      <c r="E605" s="24" t="s">
        <v>29</v>
      </c>
      <c r="F605" s="21">
        <v>10000</v>
      </c>
      <c r="G605" s="22">
        <v>0</v>
      </c>
      <c r="H605" s="22">
        <v>25</v>
      </c>
      <c r="I605" s="22">
        <v>0</v>
      </c>
      <c r="J605" s="22">
        <f>1000+2051.7</f>
        <v>3051.7</v>
      </c>
      <c r="K605" s="22">
        <f>F605*2.87%</f>
        <v>287</v>
      </c>
      <c r="L605" s="22">
        <f>F605*7.1%</f>
        <v>709.99999999999989</v>
      </c>
      <c r="M605" s="22">
        <v>130</v>
      </c>
      <c r="N605" s="22">
        <v>304</v>
      </c>
      <c r="O605" s="22">
        <v>709</v>
      </c>
      <c r="P605" s="22">
        <v>0</v>
      </c>
      <c r="Q605" s="21">
        <f>K605+N605</f>
        <v>591</v>
      </c>
      <c r="R605" s="21">
        <f>G605+H605+I605+J605+K605+N605+P605</f>
        <v>3667.7</v>
      </c>
      <c r="S605" s="21">
        <f>L605+M605+O605</f>
        <v>1549</v>
      </c>
      <c r="T605" s="21">
        <f>F605-R605</f>
        <v>6332.3</v>
      </c>
      <c r="U605" s="24" t="s">
        <v>30</v>
      </c>
    </row>
    <row r="606" spans="1:21" ht="15.75" customHeight="1">
      <c r="A606" s="23">
        <v>591</v>
      </c>
      <c r="B606" s="23" t="s">
        <v>105</v>
      </c>
      <c r="C606" s="23" t="s">
        <v>77</v>
      </c>
      <c r="D606" s="23" t="s">
        <v>61</v>
      </c>
      <c r="E606" s="24" t="s">
        <v>29</v>
      </c>
      <c r="F606" s="21">
        <v>15000</v>
      </c>
      <c r="G606" s="22">
        <v>0</v>
      </c>
      <c r="H606" s="22">
        <v>25</v>
      </c>
      <c r="I606" s="22">
        <v>0</v>
      </c>
      <c r="J606" s="22">
        <v>0</v>
      </c>
      <c r="K606" s="22">
        <f>F606*2.87%</f>
        <v>430.5</v>
      </c>
      <c r="L606" s="22">
        <f>F606*7.1%</f>
        <v>1065</v>
      </c>
      <c r="M606" s="22">
        <v>195</v>
      </c>
      <c r="N606" s="22">
        <v>456</v>
      </c>
      <c r="O606" s="22">
        <v>1063.5</v>
      </c>
      <c r="P606" s="22">
        <v>0</v>
      </c>
      <c r="Q606" s="21">
        <f>K606+N606</f>
        <v>886.5</v>
      </c>
      <c r="R606" s="21">
        <f>G606+H606+I606+J606+K606+N606+P606</f>
        <v>911.5</v>
      </c>
      <c r="S606" s="21">
        <f>L606+M606+O606</f>
        <v>2323.5</v>
      </c>
      <c r="T606" s="21">
        <f>F606-R606</f>
        <v>14088.5</v>
      </c>
      <c r="U606" s="24" t="s">
        <v>30</v>
      </c>
    </row>
    <row r="607" spans="1:21" ht="15.75" customHeight="1">
      <c r="A607" s="19">
        <v>592</v>
      </c>
      <c r="B607" s="23" t="s">
        <v>710</v>
      </c>
      <c r="C607" s="23" t="s">
        <v>358</v>
      </c>
      <c r="D607" s="23" t="s">
        <v>78</v>
      </c>
      <c r="E607" s="24" t="s">
        <v>29</v>
      </c>
      <c r="F607" s="21">
        <v>10000</v>
      </c>
      <c r="G607" s="22">
        <v>0</v>
      </c>
      <c r="H607" s="22">
        <v>25</v>
      </c>
      <c r="I607" s="22">
        <v>0</v>
      </c>
      <c r="J607" s="22">
        <v>0</v>
      </c>
      <c r="K607" s="22">
        <f>F607*2.87%</f>
        <v>287</v>
      </c>
      <c r="L607" s="22">
        <f>F607*7.1%</f>
        <v>709.99999999999989</v>
      </c>
      <c r="M607" s="22">
        <v>130</v>
      </c>
      <c r="N607" s="22">
        <v>304</v>
      </c>
      <c r="O607" s="22">
        <v>709</v>
      </c>
      <c r="P607" s="22">
        <v>0</v>
      </c>
      <c r="Q607" s="21">
        <f>K607+N607</f>
        <v>591</v>
      </c>
      <c r="R607" s="21">
        <f>G607+H607+I607+J607+K607+N607+P607</f>
        <v>616</v>
      </c>
      <c r="S607" s="21">
        <f>L607+M607+O607</f>
        <v>1549</v>
      </c>
      <c r="T607" s="21">
        <f>F607-R607</f>
        <v>9384</v>
      </c>
      <c r="U607" s="24" t="s">
        <v>30</v>
      </c>
    </row>
    <row r="608" spans="1:21" ht="15.75" customHeight="1">
      <c r="A608" s="23">
        <v>593</v>
      </c>
      <c r="B608" s="23" t="s">
        <v>711</v>
      </c>
      <c r="C608" s="23" t="s">
        <v>88</v>
      </c>
      <c r="D608" s="23" t="s">
        <v>52</v>
      </c>
      <c r="E608" s="24" t="s">
        <v>29</v>
      </c>
      <c r="F608" s="21">
        <v>12000</v>
      </c>
      <c r="G608" s="22">
        <v>0</v>
      </c>
      <c r="H608" s="22">
        <v>25</v>
      </c>
      <c r="I608" s="22">
        <v>0</v>
      </c>
      <c r="J608" s="22">
        <f>1300+300+1202.35</f>
        <v>2802.35</v>
      </c>
      <c r="K608" s="22">
        <f>F608*2.87%</f>
        <v>344.4</v>
      </c>
      <c r="L608" s="22">
        <f>F608*7.1%</f>
        <v>851.99999999999989</v>
      </c>
      <c r="M608" s="22">
        <v>156</v>
      </c>
      <c r="N608" s="22">
        <v>364.8</v>
      </c>
      <c r="O608" s="22">
        <v>850.80000000000007</v>
      </c>
      <c r="P608" s="22">
        <v>0</v>
      </c>
      <c r="Q608" s="21">
        <f>K608+N608</f>
        <v>709.2</v>
      </c>
      <c r="R608" s="21">
        <f>G608+H608+I608+J608+K608+N608+P608</f>
        <v>3536.55</v>
      </c>
      <c r="S608" s="21">
        <f>L608+M608+O608</f>
        <v>1858.8</v>
      </c>
      <c r="T608" s="21">
        <f>F608-R608</f>
        <v>8463.4500000000007</v>
      </c>
      <c r="U608" s="24" t="s">
        <v>30</v>
      </c>
    </row>
    <row r="609" spans="1:21" ht="15.75" customHeight="1">
      <c r="A609" s="23">
        <v>594</v>
      </c>
      <c r="B609" s="23" t="s">
        <v>712</v>
      </c>
      <c r="C609" s="23" t="s">
        <v>48</v>
      </c>
      <c r="D609" s="23" t="s">
        <v>28</v>
      </c>
      <c r="E609" s="24" t="s">
        <v>29</v>
      </c>
      <c r="F609" s="21">
        <v>20000</v>
      </c>
      <c r="G609" s="22">
        <v>0</v>
      </c>
      <c r="H609" s="22">
        <v>25</v>
      </c>
      <c r="I609" s="22">
        <v>0</v>
      </c>
      <c r="J609" s="22">
        <v>0</v>
      </c>
      <c r="K609" s="22">
        <f>F609*2.87%</f>
        <v>574</v>
      </c>
      <c r="L609" s="22">
        <f>F609*7.1%</f>
        <v>1419.9999999999998</v>
      </c>
      <c r="M609" s="22">
        <v>260</v>
      </c>
      <c r="N609" s="22">
        <v>608</v>
      </c>
      <c r="O609" s="22">
        <v>1418</v>
      </c>
      <c r="P609" s="22">
        <v>1366</v>
      </c>
      <c r="Q609" s="21">
        <f>K609+N609</f>
        <v>1182</v>
      </c>
      <c r="R609" s="21">
        <f>G609+H609+I609+J609+K609+N609+P609</f>
        <v>2573</v>
      </c>
      <c r="S609" s="21">
        <f>L609+M609+O609</f>
        <v>3098</v>
      </c>
      <c r="T609" s="21">
        <f>F609-R609</f>
        <v>17427</v>
      </c>
      <c r="U609" s="24" t="s">
        <v>36</v>
      </c>
    </row>
    <row r="610" spans="1:21" ht="15.75" customHeight="1">
      <c r="A610" s="19">
        <v>595</v>
      </c>
      <c r="B610" s="23" t="s">
        <v>713</v>
      </c>
      <c r="C610" s="23" t="s">
        <v>48</v>
      </c>
      <c r="D610" s="23" t="s">
        <v>557</v>
      </c>
      <c r="E610" s="24" t="s">
        <v>29</v>
      </c>
      <c r="F610" s="21">
        <v>20000</v>
      </c>
      <c r="G610" s="22">
        <v>0</v>
      </c>
      <c r="H610" s="22">
        <v>25</v>
      </c>
      <c r="I610" s="22">
        <v>0</v>
      </c>
      <c r="J610" s="22">
        <v>0</v>
      </c>
      <c r="K610" s="22">
        <f>F610*2.87%</f>
        <v>574</v>
      </c>
      <c r="L610" s="22">
        <f>F610*7.1%</f>
        <v>1419.9999999999998</v>
      </c>
      <c r="M610" s="22">
        <v>260</v>
      </c>
      <c r="N610" s="22">
        <v>608</v>
      </c>
      <c r="O610" s="22">
        <v>1418</v>
      </c>
      <c r="P610" s="22">
        <v>0</v>
      </c>
      <c r="Q610" s="21">
        <f>K610+N610</f>
        <v>1182</v>
      </c>
      <c r="R610" s="21">
        <f>G610+H610+I610+J610+K610+N610+P610</f>
        <v>1207</v>
      </c>
      <c r="S610" s="21">
        <f>L610+M610+O610</f>
        <v>3098</v>
      </c>
      <c r="T610" s="21">
        <f>F610-R610</f>
        <v>18793</v>
      </c>
      <c r="U610" s="24" t="s">
        <v>36</v>
      </c>
    </row>
    <row r="611" spans="1:21" ht="15.75" customHeight="1">
      <c r="A611" s="23">
        <v>596</v>
      </c>
      <c r="B611" s="23" t="s">
        <v>714</v>
      </c>
      <c r="C611" s="23" t="s">
        <v>68</v>
      </c>
      <c r="D611" s="23" t="s">
        <v>81</v>
      </c>
      <c r="E611" s="24" t="s">
        <v>29</v>
      </c>
      <c r="F611" s="21">
        <v>20000</v>
      </c>
      <c r="G611" s="22">
        <v>0</v>
      </c>
      <c r="H611" s="22">
        <v>25</v>
      </c>
      <c r="I611" s="22">
        <v>0</v>
      </c>
      <c r="J611" s="22">
        <f>1000+300</f>
        <v>1300</v>
      </c>
      <c r="K611" s="22">
        <f>F611*2.87%</f>
        <v>574</v>
      </c>
      <c r="L611" s="22">
        <f>F611*7.1%</f>
        <v>1419.9999999999998</v>
      </c>
      <c r="M611" s="22">
        <v>260</v>
      </c>
      <c r="N611" s="22">
        <v>608</v>
      </c>
      <c r="O611" s="22">
        <v>1418</v>
      </c>
      <c r="P611" s="22">
        <v>0</v>
      </c>
      <c r="Q611" s="21">
        <f>K611+N611</f>
        <v>1182</v>
      </c>
      <c r="R611" s="21">
        <f>G611+H611+I611+J611+K611+N611+P611</f>
        <v>2507</v>
      </c>
      <c r="S611" s="21">
        <f>L611+M611+O611</f>
        <v>3098</v>
      </c>
      <c r="T611" s="21">
        <f>F611-R611</f>
        <v>17493</v>
      </c>
      <c r="U611" s="24" t="s">
        <v>36</v>
      </c>
    </row>
    <row r="612" spans="1:21" ht="15.75" customHeight="1">
      <c r="A612" s="23">
        <v>597</v>
      </c>
      <c r="B612" s="23" t="s">
        <v>715</v>
      </c>
      <c r="C612" s="23" t="s">
        <v>68</v>
      </c>
      <c r="D612" s="23" t="s">
        <v>98</v>
      </c>
      <c r="E612" s="24" t="s">
        <v>29</v>
      </c>
      <c r="F612" s="21">
        <v>15000</v>
      </c>
      <c r="G612" s="22">
        <v>0</v>
      </c>
      <c r="H612" s="22">
        <v>25</v>
      </c>
      <c r="I612" s="22">
        <v>0</v>
      </c>
      <c r="J612" s="22">
        <v>0</v>
      </c>
      <c r="K612" s="22">
        <f>F612*2.87%</f>
        <v>430.5</v>
      </c>
      <c r="L612" s="22">
        <f>F612*7.1%</f>
        <v>1065</v>
      </c>
      <c r="M612" s="22">
        <v>195</v>
      </c>
      <c r="N612" s="22">
        <v>456</v>
      </c>
      <c r="O612" s="22">
        <v>1063.5</v>
      </c>
      <c r="P612" s="22">
        <v>0</v>
      </c>
      <c r="Q612" s="21">
        <f>K612+N612</f>
        <v>886.5</v>
      </c>
      <c r="R612" s="21">
        <f>G612+H612+I612+J612+K612+N612+P612</f>
        <v>911.5</v>
      </c>
      <c r="S612" s="21">
        <f>L612+M612+O612</f>
        <v>2323.5</v>
      </c>
      <c r="T612" s="21">
        <f>F612-R612</f>
        <v>14088.5</v>
      </c>
      <c r="U612" s="24" t="s">
        <v>36</v>
      </c>
    </row>
    <row r="613" spans="1:21" ht="15.75" customHeight="1">
      <c r="A613" s="19">
        <v>598</v>
      </c>
      <c r="B613" s="23" t="s">
        <v>716</v>
      </c>
      <c r="C613" s="23" t="s">
        <v>717</v>
      </c>
      <c r="D613" s="23" t="s">
        <v>78</v>
      </c>
      <c r="E613" s="24" t="s">
        <v>29</v>
      </c>
      <c r="F613" s="21">
        <v>20650</v>
      </c>
      <c r="G613" s="22">
        <v>0</v>
      </c>
      <c r="H613" s="22">
        <v>25</v>
      </c>
      <c r="I613" s="22">
        <v>0</v>
      </c>
      <c r="J613" s="22">
        <v>0</v>
      </c>
      <c r="K613" s="22">
        <f>F613*2.87%</f>
        <v>592.65499999999997</v>
      </c>
      <c r="L613" s="22">
        <f>F613*7.1%</f>
        <v>1466.1499999999999</v>
      </c>
      <c r="M613" s="22">
        <v>268.45</v>
      </c>
      <c r="N613" s="22">
        <v>627.76</v>
      </c>
      <c r="O613" s="22">
        <v>1464.085</v>
      </c>
      <c r="P613" s="22">
        <v>0</v>
      </c>
      <c r="Q613" s="21">
        <f>K613+N613</f>
        <v>1220.415</v>
      </c>
      <c r="R613" s="21">
        <f>G613+H613+I613+J613+K613+N613+P613</f>
        <v>1245.415</v>
      </c>
      <c r="S613" s="21">
        <f>L613+M613+O613</f>
        <v>3198.6849999999999</v>
      </c>
      <c r="T613" s="21">
        <f>F613-R613</f>
        <v>19404.584999999999</v>
      </c>
      <c r="U613" s="24" t="s">
        <v>36</v>
      </c>
    </row>
    <row r="614" spans="1:21" ht="15.75" customHeight="1">
      <c r="A614" s="23">
        <v>599</v>
      </c>
      <c r="B614" s="23" t="s">
        <v>718</v>
      </c>
      <c r="C614" s="23" t="s">
        <v>48</v>
      </c>
      <c r="D614" s="23" t="s">
        <v>177</v>
      </c>
      <c r="E614" s="24" t="s">
        <v>29</v>
      </c>
      <c r="F614" s="21">
        <v>15000</v>
      </c>
      <c r="G614" s="22">
        <v>0</v>
      </c>
      <c r="H614" s="22">
        <v>25</v>
      </c>
      <c r="I614" s="22">
        <v>0</v>
      </c>
      <c r="J614" s="22">
        <v>0</v>
      </c>
      <c r="K614" s="22">
        <f>F614*2.87%</f>
        <v>430.5</v>
      </c>
      <c r="L614" s="22">
        <f>F614*7.1%</f>
        <v>1065</v>
      </c>
      <c r="M614" s="22">
        <v>195</v>
      </c>
      <c r="N614" s="22">
        <v>456</v>
      </c>
      <c r="O614" s="22">
        <v>1063.5</v>
      </c>
      <c r="P614" s="22">
        <v>0</v>
      </c>
      <c r="Q614" s="21">
        <f>K614+N614</f>
        <v>886.5</v>
      </c>
      <c r="R614" s="21">
        <f>G614+H614+I614+J614+K614+N614+P614</f>
        <v>911.5</v>
      </c>
      <c r="S614" s="21">
        <f>L614+M614+O614</f>
        <v>2323.5</v>
      </c>
      <c r="T614" s="21">
        <f>F614-R614</f>
        <v>14088.5</v>
      </c>
      <c r="U614" s="24" t="s">
        <v>36</v>
      </c>
    </row>
    <row r="615" spans="1:21" ht="15.75" customHeight="1">
      <c r="A615" s="23">
        <v>600</v>
      </c>
      <c r="B615" s="23" t="s">
        <v>719</v>
      </c>
      <c r="C615" s="23" t="s">
        <v>88</v>
      </c>
      <c r="D615" s="23" t="s">
        <v>72</v>
      </c>
      <c r="E615" s="24" t="s">
        <v>29</v>
      </c>
      <c r="F615" s="21">
        <v>11550</v>
      </c>
      <c r="G615" s="22">
        <v>0</v>
      </c>
      <c r="H615" s="22">
        <v>25</v>
      </c>
      <c r="I615" s="22">
        <v>0</v>
      </c>
      <c r="J615" s="22">
        <f>1000+300+5659.5</f>
        <v>6959.5</v>
      </c>
      <c r="K615" s="22">
        <f>F615*2.87%</f>
        <v>331.48500000000001</v>
      </c>
      <c r="L615" s="22">
        <f>F615*7.1%</f>
        <v>820.05</v>
      </c>
      <c r="M615" s="22">
        <v>150.15</v>
      </c>
      <c r="N615" s="22">
        <v>351.12</v>
      </c>
      <c r="O615" s="22">
        <v>818.8950000000001</v>
      </c>
      <c r="P615" s="22">
        <v>0</v>
      </c>
      <c r="Q615" s="21">
        <f>K615+N615</f>
        <v>682.60500000000002</v>
      </c>
      <c r="R615" s="21">
        <f>G615+H615+I615+J615+K615+N615+P615</f>
        <v>7667.1049999999996</v>
      </c>
      <c r="S615" s="21">
        <f>L615+M615+O615</f>
        <v>1789.095</v>
      </c>
      <c r="T615" s="21">
        <f>F615-R615</f>
        <v>3882.8950000000004</v>
      </c>
      <c r="U615" s="24" t="s">
        <v>36</v>
      </c>
    </row>
    <row r="616" spans="1:21" ht="15.75" customHeight="1">
      <c r="A616" s="19">
        <v>601</v>
      </c>
      <c r="B616" s="23" t="s">
        <v>720</v>
      </c>
      <c r="C616" s="23" t="s">
        <v>287</v>
      </c>
      <c r="D616" s="23" t="s">
        <v>58</v>
      </c>
      <c r="E616" s="24" t="s">
        <v>29</v>
      </c>
      <c r="F616" s="21">
        <v>22000</v>
      </c>
      <c r="G616" s="22">
        <v>0</v>
      </c>
      <c r="H616" s="22">
        <v>25</v>
      </c>
      <c r="I616" s="22">
        <v>0</v>
      </c>
      <c r="J616" s="22">
        <f>300+9058.45</f>
        <v>9358.4500000000007</v>
      </c>
      <c r="K616" s="22">
        <f>F616*2.87%</f>
        <v>631.4</v>
      </c>
      <c r="L616" s="22">
        <f>F616*7.1%</f>
        <v>1561.9999999999998</v>
      </c>
      <c r="M616" s="22">
        <v>286</v>
      </c>
      <c r="N616" s="22">
        <v>668.8</v>
      </c>
      <c r="O616" s="22">
        <v>1559.8000000000002</v>
      </c>
      <c r="P616" s="22">
        <v>0</v>
      </c>
      <c r="Q616" s="21">
        <f>K616+N616</f>
        <v>1300.1999999999998</v>
      </c>
      <c r="R616" s="21">
        <f>G616+H616+I616+J616+K616+N616+P616</f>
        <v>10683.65</v>
      </c>
      <c r="S616" s="21">
        <f>L616+M616+O616</f>
        <v>3407.8</v>
      </c>
      <c r="T616" s="21">
        <f>F616-R616</f>
        <v>11316.35</v>
      </c>
      <c r="U616" s="24" t="s">
        <v>30</v>
      </c>
    </row>
    <row r="617" spans="1:21" ht="15.75" customHeight="1">
      <c r="A617" s="23">
        <v>602</v>
      </c>
      <c r="B617" s="23" t="s">
        <v>721</v>
      </c>
      <c r="C617" s="23" t="s">
        <v>68</v>
      </c>
      <c r="D617" s="23" t="s">
        <v>61</v>
      </c>
      <c r="E617" s="24" t="s">
        <v>29</v>
      </c>
      <c r="F617" s="21">
        <v>20000</v>
      </c>
      <c r="G617" s="22">
        <v>0</v>
      </c>
      <c r="H617" s="22">
        <v>25</v>
      </c>
      <c r="I617" s="22">
        <v>0</v>
      </c>
      <c r="J617" s="22">
        <v>0</v>
      </c>
      <c r="K617" s="22">
        <f>F617*2.87%</f>
        <v>574</v>
      </c>
      <c r="L617" s="22">
        <f>F617*7.1%</f>
        <v>1419.9999999999998</v>
      </c>
      <c r="M617" s="22">
        <v>260</v>
      </c>
      <c r="N617" s="22">
        <v>608</v>
      </c>
      <c r="O617" s="22">
        <v>1418</v>
      </c>
      <c r="P617" s="22">
        <v>0</v>
      </c>
      <c r="Q617" s="21">
        <f>K617+N617</f>
        <v>1182</v>
      </c>
      <c r="R617" s="21">
        <f>G617+H617+I617+J617+K617+N617+P617</f>
        <v>1207</v>
      </c>
      <c r="S617" s="21">
        <f>L617+M617+O617</f>
        <v>3098</v>
      </c>
      <c r="T617" s="21">
        <f>F617-R617</f>
        <v>18793</v>
      </c>
      <c r="U617" s="24" t="s">
        <v>36</v>
      </c>
    </row>
    <row r="618" spans="1:21" ht="15.75" customHeight="1">
      <c r="A618" s="23">
        <v>603</v>
      </c>
      <c r="B618" s="23" t="s">
        <v>722</v>
      </c>
      <c r="C618" s="23" t="s">
        <v>141</v>
      </c>
      <c r="D618" s="23" t="s">
        <v>58</v>
      </c>
      <c r="E618" s="24" t="s">
        <v>29</v>
      </c>
      <c r="F618" s="21">
        <v>15000</v>
      </c>
      <c r="G618" s="22">
        <v>0</v>
      </c>
      <c r="H618" s="22">
        <v>25</v>
      </c>
      <c r="I618" s="22">
        <v>0</v>
      </c>
      <c r="J618" s="22">
        <v>0</v>
      </c>
      <c r="K618" s="22">
        <f>F618*2.87%</f>
        <v>430.5</v>
      </c>
      <c r="L618" s="22">
        <f>F618*7.1%</f>
        <v>1065</v>
      </c>
      <c r="M618" s="22">
        <v>195</v>
      </c>
      <c r="N618" s="22">
        <v>456</v>
      </c>
      <c r="O618" s="22">
        <v>1063.5</v>
      </c>
      <c r="P618" s="22">
        <v>0</v>
      </c>
      <c r="Q618" s="21">
        <f>K618+N618</f>
        <v>886.5</v>
      </c>
      <c r="R618" s="21">
        <f>G618+H618+I618+J618+K618+N618+P618</f>
        <v>911.5</v>
      </c>
      <c r="S618" s="21">
        <f>L618+M618+O618</f>
        <v>2323.5</v>
      </c>
      <c r="T618" s="21">
        <f>F618-R618</f>
        <v>14088.5</v>
      </c>
      <c r="U618" s="24" t="s">
        <v>30</v>
      </c>
    </row>
    <row r="619" spans="1:21" ht="15.75" customHeight="1">
      <c r="A619" s="19">
        <v>604</v>
      </c>
      <c r="B619" s="23" t="s">
        <v>723</v>
      </c>
      <c r="C619" s="23" t="s">
        <v>71</v>
      </c>
      <c r="D619" s="23" t="s">
        <v>72</v>
      </c>
      <c r="E619" s="24" t="s">
        <v>29</v>
      </c>
      <c r="F619" s="21">
        <v>15000</v>
      </c>
      <c r="G619" s="22">
        <v>0</v>
      </c>
      <c r="H619" s="22">
        <v>25</v>
      </c>
      <c r="I619" s="22">
        <v>0</v>
      </c>
      <c r="J619" s="22">
        <v>0</v>
      </c>
      <c r="K619" s="22">
        <f>F619*2.87%</f>
        <v>430.5</v>
      </c>
      <c r="L619" s="22">
        <f>F619*7.1%</f>
        <v>1065</v>
      </c>
      <c r="M619" s="22">
        <v>195</v>
      </c>
      <c r="N619" s="22">
        <v>456</v>
      </c>
      <c r="O619" s="22">
        <v>1063.5</v>
      </c>
      <c r="P619" s="22">
        <v>0</v>
      </c>
      <c r="Q619" s="21">
        <f>K619+N619</f>
        <v>886.5</v>
      </c>
      <c r="R619" s="21">
        <f>G619+H619+I619+J619+K619+N619+P619</f>
        <v>911.5</v>
      </c>
      <c r="S619" s="21">
        <f>L619+M619+O619</f>
        <v>2323.5</v>
      </c>
      <c r="T619" s="21">
        <f>F619-R619</f>
        <v>14088.5</v>
      </c>
      <c r="U619" s="24" t="s">
        <v>36</v>
      </c>
    </row>
    <row r="620" spans="1:21" ht="15.75" customHeight="1">
      <c r="A620" s="23">
        <v>605</v>
      </c>
      <c r="B620" s="23" t="s">
        <v>724</v>
      </c>
      <c r="C620" s="23" t="s">
        <v>48</v>
      </c>
      <c r="D620" s="23" t="s">
        <v>78</v>
      </c>
      <c r="E620" s="24" t="s">
        <v>29</v>
      </c>
      <c r="F620" s="21">
        <v>15000</v>
      </c>
      <c r="G620" s="22">
        <v>0</v>
      </c>
      <c r="H620" s="22">
        <v>25</v>
      </c>
      <c r="I620" s="22">
        <v>0</v>
      </c>
      <c r="J620" s="22">
        <v>0</v>
      </c>
      <c r="K620" s="22">
        <f>F620*2.87%</f>
        <v>430.5</v>
      </c>
      <c r="L620" s="22">
        <f>F620*7.1%</f>
        <v>1065</v>
      </c>
      <c r="M620" s="22">
        <v>195</v>
      </c>
      <c r="N620" s="22">
        <v>456</v>
      </c>
      <c r="O620" s="22">
        <v>1063.5</v>
      </c>
      <c r="P620" s="22">
        <v>0</v>
      </c>
      <c r="Q620" s="21">
        <f>K620+N620</f>
        <v>886.5</v>
      </c>
      <c r="R620" s="21">
        <f>G620+H620+I620+J620+K620+N620+P620</f>
        <v>911.5</v>
      </c>
      <c r="S620" s="21">
        <f>L620+M620+O620</f>
        <v>2323.5</v>
      </c>
      <c r="T620" s="21">
        <f>F620-R620</f>
        <v>14088.5</v>
      </c>
      <c r="U620" s="24" t="s">
        <v>36</v>
      </c>
    </row>
    <row r="621" spans="1:21" ht="15.75" customHeight="1">
      <c r="A621" s="23">
        <v>606</v>
      </c>
      <c r="B621" s="23" t="s">
        <v>725</v>
      </c>
      <c r="C621" s="23" t="s">
        <v>695</v>
      </c>
      <c r="D621" s="23" t="s">
        <v>86</v>
      </c>
      <c r="E621" s="24" t="s">
        <v>29</v>
      </c>
      <c r="F621" s="21">
        <v>70000</v>
      </c>
      <c r="G621" s="22">
        <v>5368.48</v>
      </c>
      <c r="H621" s="22">
        <v>25</v>
      </c>
      <c r="I621" s="22">
        <v>0</v>
      </c>
      <c r="J621" s="22">
        <v>0</v>
      </c>
      <c r="K621" s="22">
        <f>F621*2.87%</f>
        <v>2009</v>
      </c>
      <c r="L621" s="22">
        <f>F621*7.1%</f>
        <v>4970</v>
      </c>
      <c r="M621" s="22">
        <v>910</v>
      </c>
      <c r="N621" s="22">
        <v>2128</v>
      </c>
      <c r="O621" s="22">
        <f>F621*7.09%</f>
        <v>4963</v>
      </c>
      <c r="P621" s="22">
        <v>0</v>
      </c>
      <c r="Q621" s="21">
        <f>K621+N621</f>
        <v>4137</v>
      </c>
      <c r="R621" s="21">
        <f>G621+H621+I621+J621+K621+N621+P621</f>
        <v>9530.48</v>
      </c>
      <c r="S621" s="21">
        <f>L621+M621+O621</f>
        <v>10843</v>
      </c>
      <c r="T621" s="21">
        <f>F621-R621</f>
        <v>60469.520000000004</v>
      </c>
      <c r="U621" s="24" t="s">
        <v>36</v>
      </c>
    </row>
    <row r="622" spans="1:21" ht="15.75" customHeight="1">
      <c r="A622" s="19">
        <v>607</v>
      </c>
      <c r="B622" s="23" t="s">
        <v>726</v>
      </c>
      <c r="C622" s="23" t="s">
        <v>88</v>
      </c>
      <c r="D622" s="23" t="s">
        <v>58</v>
      </c>
      <c r="E622" s="24" t="s">
        <v>29</v>
      </c>
      <c r="F622" s="21">
        <v>10000</v>
      </c>
      <c r="G622" s="22">
        <v>0</v>
      </c>
      <c r="H622" s="22">
        <v>25</v>
      </c>
      <c r="I622" s="22">
        <v>0</v>
      </c>
      <c r="J622" s="22">
        <f>1000+300+1938.81</f>
        <v>3238.81</v>
      </c>
      <c r="K622" s="22">
        <f>F622*2.87%</f>
        <v>287</v>
      </c>
      <c r="L622" s="22">
        <f>F622*7.1%</f>
        <v>709.99999999999989</v>
      </c>
      <c r="M622" s="22">
        <v>130</v>
      </c>
      <c r="N622" s="22">
        <v>304</v>
      </c>
      <c r="O622" s="22">
        <v>709</v>
      </c>
      <c r="P622" s="22">
        <v>0</v>
      </c>
      <c r="Q622" s="21">
        <f>K622+N622</f>
        <v>591</v>
      </c>
      <c r="R622" s="21">
        <f>G622+H622+I622+J622+K622+N622+P622</f>
        <v>3854.81</v>
      </c>
      <c r="S622" s="21">
        <f>L622+M622+O622</f>
        <v>1549</v>
      </c>
      <c r="T622" s="21">
        <f>F622-R622</f>
        <v>6145.1900000000005</v>
      </c>
      <c r="U622" s="24" t="s">
        <v>36</v>
      </c>
    </row>
    <row r="623" spans="1:21" ht="15.75" customHeight="1">
      <c r="A623" s="23">
        <v>608</v>
      </c>
      <c r="B623" s="23" t="s">
        <v>727</v>
      </c>
      <c r="C623" s="23" t="s">
        <v>68</v>
      </c>
      <c r="D623" s="23" t="s">
        <v>61</v>
      </c>
      <c r="E623" s="24" t="s">
        <v>29</v>
      </c>
      <c r="F623" s="21">
        <v>18000</v>
      </c>
      <c r="G623" s="22">
        <v>0</v>
      </c>
      <c r="H623" s="22">
        <v>25</v>
      </c>
      <c r="I623" s="22">
        <v>0</v>
      </c>
      <c r="J623" s="22">
        <v>0</v>
      </c>
      <c r="K623" s="22">
        <f>F623*2.87%</f>
        <v>516.6</v>
      </c>
      <c r="L623" s="22">
        <f>F623*7.1%</f>
        <v>1277.9999999999998</v>
      </c>
      <c r="M623" s="22">
        <v>234</v>
      </c>
      <c r="N623" s="22">
        <v>547.20000000000005</v>
      </c>
      <c r="O623" s="22">
        <v>1276.2</v>
      </c>
      <c r="P623" s="22">
        <v>0</v>
      </c>
      <c r="Q623" s="21">
        <f>K623+N623</f>
        <v>1063.8000000000002</v>
      </c>
      <c r="R623" s="21">
        <f>G623+H623+I623+J623+K623+N623+P623</f>
        <v>1088.8000000000002</v>
      </c>
      <c r="S623" s="21">
        <f>L623+M623+O623</f>
        <v>2788.2</v>
      </c>
      <c r="T623" s="21">
        <f>F623-R623</f>
        <v>16911.2</v>
      </c>
      <c r="U623" s="24" t="s">
        <v>36</v>
      </c>
    </row>
    <row r="624" spans="1:21" ht="15.75" customHeight="1">
      <c r="A624" s="23">
        <v>609</v>
      </c>
      <c r="B624" s="23" t="s">
        <v>728</v>
      </c>
      <c r="C624" s="23" t="s">
        <v>48</v>
      </c>
      <c r="D624" s="23" t="s">
        <v>52</v>
      </c>
      <c r="E624" s="24" t="s">
        <v>29</v>
      </c>
      <c r="F624" s="21">
        <v>20000</v>
      </c>
      <c r="G624" s="22">
        <v>0</v>
      </c>
      <c r="H624" s="22">
        <v>25</v>
      </c>
      <c r="I624" s="22">
        <v>0</v>
      </c>
      <c r="J624" s="22">
        <v>0</v>
      </c>
      <c r="K624" s="22">
        <f>F624*2.87%</f>
        <v>574</v>
      </c>
      <c r="L624" s="22">
        <f>F624*7.1%</f>
        <v>1419.9999999999998</v>
      </c>
      <c r="M624" s="22">
        <v>260</v>
      </c>
      <c r="N624" s="22">
        <v>608</v>
      </c>
      <c r="O624" s="22">
        <v>1418</v>
      </c>
      <c r="P624" s="22">
        <v>0</v>
      </c>
      <c r="Q624" s="21">
        <f>K624+N624</f>
        <v>1182</v>
      </c>
      <c r="R624" s="21">
        <f>G624+H624+I624+J624+K624+N624+P624</f>
        <v>1207</v>
      </c>
      <c r="S624" s="21">
        <f>L624+M624+O624</f>
        <v>3098</v>
      </c>
      <c r="T624" s="21">
        <f>F624-R624</f>
        <v>18793</v>
      </c>
      <c r="U624" s="24" t="s">
        <v>36</v>
      </c>
    </row>
    <row r="625" spans="1:26" ht="15.75" customHeight="1">
      <c r="A625" s="19">
        <v>610</v>
      </c>
      <c r="B625" s="23" t="s">
        <v>729</v>
      </c>
      <c r="C625" s="23" t="s">
        <v>508</v>
      </c>
      <c r="D625" s="23" t="s">
        <v>35</v>
      </c>
      <c r="E625" s="24" t="s">
        <v>29</v>
      </c>
      <c r="F625" s="21">
        <v>46000</v>
      </c>
      <c r="G625" s="22">
        <v>1289.46</v>
      </c>
      <c r="H625" s="22">
        <v>25</v>
      </c>
      <c r="I625" s="22">
        <v>0</v>
      </c>
      <c r="J625" s="22">
        <v>0</v>
      </c>
      <c r="K625" s="22">
        <f>F625*2.87%</f>
        <v>1320.2</v>
      </c>
      <c r="L625" s="22">
        <f>F625*7.1%</f>
        <v>3265.9999999999995</v>
      </c>
      <c r="M625" s="22">
        <v>598</v>
      </c>
      <c r="N625" s="22">
        <v>1398.4</v>
      </c>
      <c r="O625" s="22">
        <v>3261.4</v>
      </c>
      <c r="P625" s="22">
        <v>0</v>
      </c>
      <c r="Q625" s="21">
        <f>K625+N625</f>
        <v>2718.6000000000004</v>
      </c>
      <c r="R625" s="21">
        <f>G625+H625+I625+J625+K625+N625+P625</f>
        <v>4033.06</v>
      </c>
      <c r="S625" s="21">
        <f>L625+M625+O625</f>
        <v>7125.4</v>
      </c>
      <c r="T625" s="21">
        <f>F625-R625</f>
        <v>41966.94</v>
      </c>
      <c r="U625" s="24" t="s">
        <v>36</v>
      </c>
    </row>
    <row r="626" spans="1:26" ht="15.75" customHeight="1">
      <c r="A626" s="23">
        <v>611</v>
      </c>
      <c r="B626" s="23" t="s">
        <v>730</v>
      </c>
      <c r="C626" s="23" t="s">
        <v>88</v>
      </c>
      <c r="D626" s="23" t="s">
        <v>58</v>
      </c>
      <c r="E626" s="24" t="s">
        <v>29</v>
      </c>
      <c r="F626" s="21">
        <v>15000</v>
      </c>
      <c r="G626" s="22">
        <v>0</v>
      </c>
      <c r="H626" s="22">
        <v>25</v>
      </c>
      <c r="I626" s="22">
        <v>0</v>
      </c>
      <c r="J626" s="22">
        <v>0</v>
      </c>
      <c r="K626" s="22">
        <f>F626*2.87%</f>
        <v>430.5</v>
      </c>
      <c r="L626" s="22">
        <f>F626*7.1%</f>
        <v>1065</v>
      </c>
      <c r="M626" s="22">
        <v>195</v>
      </c>
      <c r="N626" s="22">
        <v>456</v>
      </c>
      <c r="O626" s="22">
        <v>1063.5</v>
      </c>
      <c r="P626" s="22">
        <v>0</v>
      </c>
      <c r="Q626" s="21">
        <f>K626+N626</f>
        <v>886.5</v>
      </c>
      <c r="R626" s="21">
        <f>G626+H626+I626+J626+K626+N626+P626</f>
        <v>911.5</v>
      </c>
      <c r="S626" s="21">
        <f>L626+M626+O626</f>
        <v>2323.5</v>
      </c>
      <c r="T626" s="21">
        <f>F626-R626</f>
        <v>14088.5</v>
      </c>
      <c r="U626" s="24" t="s">
        <v>36</v>
      </c>
    </row>
    <row r="627" spans="1:26" ht="15.75" customHeight="1">
      <c r="A627" s="23">
        <v>612</v>
      </c>
      <c r="B627" s="23" t="s">
        <v>731</v>
      </c>
      <c r="C627" s="23" t="s">
        <v>88</v>
      </c>
      <c r="D627" s="23" t="s">
        <v>72</v>
      </c>
      <c r="E627" s="24" t="s">
        <v>29</v>
      </c>
      <c r="F627" s="21">
        <v>12000</v>
      </c>
      <c r="G627" s="22">
        <v>0</v>
      </c>
      <c r="H627" s="22">
        <v>25</v>
      </c>
      <c r="I627" s="22">
        <v>0</v>
      </c>
      <c r="J627" s="22">
        <f>300+1000+2690.6</f>
        <v>3990.6</v>
      </c>
      <c r="K627" s="22">
        <f>F627*2.87%</f>
        <v>344.4</v>
      </c>
      <c r="L627" s="22">
        <f>F627*7.1%</f>
        <v>851.99999999999989</v>
      </c>
      <c r="M627" s="22">
        <v>156</v>
      </c>
      <c r="N627" s="22">
        <v>364.8</v>
      </c>
      <c r="O627" s="22">
        <v>850.80000000000007</v>
      </c>
      <c r="P627" s="22">
        <v>0</v>
      </c>
      <c r="Q627" s="21">
        <f>K627+N627</f>
        <v>709.2</v>
      </c>
      <c r="R627" s="21">
        <f>G627+H627+I627+J627+K627+N627+P627</f>
        <v>4724.8</v>
      </c>
      <c r="S627" s="21">
        <f>L627+M627+O627</f>
        <v>1858.8</v>
      </c>
      <c r="T627" s="21">
        <f>F627-R627</f>
        <v>7275.2</v>
      </c>
      <c r="U627" s="24" t="s">
        <v>36</v>
      </c>
    </row>
    <row r="628" spans="1:26" ht="15.75" customHeight="1">
      <c r="A628" s="19">
        <v>613</v>
      </c>
      <c r="B628" s="23" t="s">
        <v>732</v>
      </c>
      <c r="C628" s="23" t="s">
        <v>88</v>
      </c>
      <c r="D628" s="23" t="s">
        <v>58</v>
      </c>
      <c r="E628" s="24" t="s">
        <v>29</v>
      </c>
      <c r="F628" s="21">
        <v>11000</v>
      </c>
      <c r="G628" s="22">
        <v>0</v>
      </c>
      <c r="H628" s="22">
        <v>25</v>
      </c>
      <c r="I628" s="22">
        <v>820.82</v>
      </c>
      <c r="J628" s="22">
        <f>300+300+5336.84</f>
        <v>5936.84</v>
      </c>
      <c r="K628" s="22">
        <f>F628*2.87%</f>
        <v>315.7</v>
      </c>
      <c r="L628" s="22">
        <f>F628*7.1%</f>
        <v>780.99999999999989</v>
      </c>
      <c r="M628" s="22">
        <v>143</v>
      </c>
      <c r="N628" s="22">
        <v>334.4</v>
      </c>
      <c r="O628" s="22">
        <v>779.90000000000009</v>
      </c>
      <c r="P628" s="22">
        <v>0</v>
      </c>
      <c r="Q628" s="21">
        <f>K628+N628</f>
        <v>650.09999999999991</v>
      </c>
      <c r="R628" s="21">
        <f>G628+H628+I628+J628+K628+N628+P628</f>
        <v>7432.7599999999993</v>
      </c>
      <c r="S628" s="21">
        <f>L628+M628+O628</f>
        <v>1703.9</v>
      </c>
      <c r="T628" s="21">
        <f>F628-R628</f>
        <v>3567.2400000000007</v>
      </c>
      <c r="U628" s="24" t="s">
        <v>36</v>
      </c>
    </row>
    <row r="629" spans="1:26" ht="15.75" customHeight="1">
      <c r="A629" s="23">
        <v>614</v>
      </c>
      <c r="B629" s="23" t="s">
        <v>733</v>
      </c>
      <c r="C629" s="23" t="s">
        <v>68</v>
      </c>
      <c r="D629" s="23" t="s">
        <v>52</v>
      </c>
      <c r="E629" s="24" t="s">
        <v>29</v>
      </c>
      <c r="F629" s="21">
        <v>30000</v>
      </c>
      <c r="G629" s="22">
        <v>0</v>
      </c>
      <c r="H629" s="22">
        <v>25</v>
      </c>
      <c r="I629" s="22">
        <v>0</v>
      </c>
      <c r="J629" s="22">
        <v>0</v>
      </c>
      <c r="K629" s="22">
        <f>F629*2.87%</f>
        <v>861</v>
      </c>
      <c r="L629" s="22">
        <f>F629*7.1%</f>
        <v>2130</v>
      </c>
      <c r="M629" s="22">
        <v>390</v>
      </c>
      <c r="N629" s="22">
        <v>912</v>
      </c>
      <c r="O629" s="22">
        <v>2127</v>
      </c>
      <c r="P629" s="22">
        <v>0</v>
      </c>
      <c r="Q629" s="21">
        <f>K629+N629</f>
        <v>1773</v>
      </c>
      <c r="R629" s="21">
        <f>G629+H629+I629+J629+K629+N629+P629</f>
        <v>1798</v>
      </c>
      <c r="S629" s="21">
        <f>L629+M629+O629</f>
        <v>4647</v>
      </c>
      <c r="T629" s="21">
        <f>F629-R629</f>
        <v>28202</v>
      </c>
      <c r="U629" s="24" t="s">
        <v>36</v>
      </c>
    </row>
    <row r="630" spans="1:26" ht="15.75" customHeight="1">
      <c r="A630" s="23">
        <v>615</v>
      </c>
      <c r="B630" s="23" t="s">
        <v>734</v>
      </c>
      <c r="C630" s="23" t="s">
        <v>66</v>
      </c>
      <c r="D630" s="23" t="s">
        <v>72</v>
      </c>
      <c r="E630" s="24" t="s">
        <v>29</v>
      </c>
      <c r="F630" s="21">
        <v>20000</v>
      </c>
      <c r="G630" s="22">
        <v>0</v>
      </c>
      <c r="H630" s="22">
        <v>25</v>
      </c>
      <c r="I630" s="22">
        <v>0</v>
      </c>
      <c r="J630" s="22">
        <v>0</v>
      </c>
      <c r="K630" s="22">
        <f>F630*2.87%</f>
        <v>574</v>
      </c>
      <c r="L630" s="22">
        <f>F630*7.1%</f>
        <v>1419.9999999999998</v>
      </c>
      <c r="M630" s="22">
        <v>260</v>
      </c>
      <c r="N630" s="22">
        <v>608</v>
      </c>
      <c r="O630" s="22">
        <v>1418</v>
      </c>
      <c r="P630" s="22">
        <v>0</v>
      </c>
      <c r="Q630" s="21">
        <f>K630+N630</f>
        <v>1182</v>
      </c>
      <c r="R630" s="21">
        <f>G630+H630+I630+J630+K630+N630+P630</f>
        <v>1207</v>
      </c>
      <c r="S630" s="21">
        <f>L630+M630+O630</f>
        <v>3098</v>
      </c>
      <c r="T630" s="21">
        <f>F630-R630</f>
        <v>18793</v>
      </c>
      <c r="U630" s="24" t="s">
        <v>36</v>
      </c>
    </row>
    <row r="631" spans="1:26" ht="15.75" customHeight="1">
      <c r="A631" s="19">
        <v>616</v>
      </c>
      <c r="B631" s="23" t="s">
        <v>735</v>
      </c>
      <c r="C631" s="23" t="s">
        <v>66</v>
      </c>
      <c r="D631" s="23" t="s">
        <v>61</v>
      </c>
      <c r="E631" s="24" t="s">
        <v>29</v>
      </c>
      <c r="F631" s="21">
        <v>15000</v>
      </c>
      <c r="G631" s="22">
        <v>0</v>
      </c>
      <c r="H631" s="22">
        <v>25</v>
      </c>
      <c r="I631" s="22">
        <v>0</v>
      </c>
      <c r="J631" s="22">
        <v>0</v>
      </c>
      <c r="K631" s="22">
        <f>F631*2.87%</f>
        <v>430.5</v>
      </c>
      <c r="L631" s="22">
        <f>F631*7.1%</f>
        <v>1065</v>
      </c>
      <c r="M631" s="22">
        <v>195</v>
      </c>
      <c r="N631" s="22">
        <v>456</v>
      </c>
      <c r="O631" s="22">
        <v>1063.5</v>
      </c>
      <c r="P631" s="22">
        <v>0</v>
      </c>
      <c r="Q631" s="21">
        <f>K631+N631</f>
        <v>886.5</v>
      </c>
      <c r="R631" s="21">
        <f>G631+H631+I631+J631+K631+N631+P631</f>
        <v>911.5</v>
      </c>
      <c r="S631" s="21">
        <f>L631+M631+O631</f>
        <v>2323.5</v>
      </c>
      <c r="T631" s="21">
        <f>F631-R631</f>
        <v>14088.5</v>
      </c>
      <c r="U631" s="24" t="s">
        <v>30</v>
      </c>
    </row>
    <row r="632" spans="1:26" ht="15.75" customHeight="1">
      <c r="A632" s="23">
        <v>617</v>
      </c>
      <c r="B632" s="23" t="s">
        <v>736</v>
      </c>
      <c r="C632" s="23" t="s">
        <v>68</v>
      </c>
      <c r="D632" s="23" t="s">
        <v>138</v>
      </c>
      <c r="E632" s="24" t="s">
        <v>29</v>
      </c>
      <c r="F632" s="21">
        <v>15000</v>
      </c>
      <c r="G632" s="21">
        <v>0</v>
      </c>
      <c r="H632" s="21">
        <v>25</v>
      </c>
      <c r="I632" s="21">
        <v>0</v>
      </c>
      <c r="J632" s="21">
        <f>500+300+3145.86</f>
        <v>3945.86</v>
      </c>
      <c r="K632" s="21">
        <f>F632*2.87%</f>
        <v>430.5</v>
      </c>
      <c r="L632" s="21">
        <f>F632*7.1%</f>
        <v>1065</v>
      </c>
      <c r="M632" s="21">
        <v>195</v>
      </c>
      <c r="N632" s="21">
        <v>456</v>
      </c>
      <c r="O632" s="22">
        <v>1063.5</v>
      </c>
      <c r="P632" s="21">
        <v>0</v>
      </c>
      <c r="Q632" s="21">
        <f>K632+N632</f>
        <v>886.5</v>
      </c>
      <c r="R632" s="21">
        <f>G632+H632+I632+J632+K632+N632+P632</f>
        <v>4857.3600000000006</v>
      </c>
      <c r="S632" s="21">
        <f>L632+M632+O632</f>
        <v>2323.5</v>
      </c>
      <c r="T632" s="21">
        <f>F632-R632</f>
        <v>10142.64</v>
      </c>
      <c r="U632" s="24" t="s">
        <v>36</v>
      </c>
    </row>
    <row r="633" spans="1:26" ht="15.6">
      <c r="A633" s="23">
        <v>618</v>
      </c>
      <c r="B633" s="23" t="s">
        <v>737</v>
      </c>
      <c r="C633" s="23" t="s">
        <v>48</v>
      </c>
      <c r="D633" s="23" t="s">
        <v>41</v>
      </c>
      <c r="E633" s="24" t="s">
        <v>29</v>
      </c>
      <c r="F633" s="21">
        <v>45000</v>
      </c>
      <c r="G633" s="21">
        <v>910.22</v>
      </c>
      <c r="H633" s="21">
        <v>25</v>
      </c>
      <c r="I633" s="21">
        <v>0</v>
      </c>
      <c r="J633" s="21">
        <f>300+2476.76</f>
        <v>2776.76</v>
      </c>
      <c r="K633" s="21">
        <f>F633*2.87%</f>
        <v>1291.5</v>
      </c>
      <c r="L633" s="21">
        <f>F633*7.1%</f>
        <v>3194.9999999999995</v>
      </c>
      <c r="M633" s="21">
        <v>585</v>
      </c>
      <c r="N633" s="21">
        <v>1368</v>
      </c>
      <c r="O633" s="21">
        <v>3190.5</v>
      </c>
      <c r="P633" s="21">
        <v>1587.38</v>
      </c>
      <c r="Q633" s="21">
        <f>K633+N633</f>
        <v>2659.5</v>
      </c>
      <c r="R633" s="21">
        <f>G633+H633+I633+J633+K633+N633+P633</f>
        <v>7958.8600000000006</v>
      </c>
      <c r="S633" s="21">
        <f>L633+M633+O633</f>
        <v>6970.5</v>
      </c>
      <c r="T633" s="21">
        <f>F633-R633</f>
        <v>37041.14</v>
      </c>
      <c r="U633" s="24" t="s">
        <v>36</v>
      </c>
    </row>
    <row r="634" spans="1:26" ht="15.6">
      <c r="A634" s="34"/>
      <c r="B634" s="34"/>
      <c r="C634" s="34"/>
      <c r="D634" s="34"/>
      <c r="E634" s="35"/>
      <c r="F634" s="36"/>
      <c r="G634" s="36"/>
      <c r="O634" s="29"/>
      <c r="U634" s="35"/>
    </row>
    <row r="635" spans="1:26" ht="15.6">
      <c r="A635" s="34"/>
      <c r="B635" s="34"/>
      <c r="C635" s="34"/>
      <c r="D635" s="34"/>
      <c r="E635" s="35"/>
      <c r="F635" s="36"/>
      <c r="G635" s="36"/>
      <c r="H635" s="36"/>
      <c r="U635" s="35"/>
    </row>
    <row r="636" spans="1:26" ht="18" thickBot="1">
      <c r="A636" s="34"/>
      <c r="B636" s="34"/>
      <c r="C636" s="34"/>
      <c r="D636" s="34"/>
      <c r="E636" s="35"/>
      <c r="F636" s="37">
        <f>SUM(F16:F635)</f>
        <v>13109739.450000001</v>
      </c>
      <c r="G636" s="37">
        <f>SUM(G16:G635)</f>
        <v>315968.81999999995</v>
      </c>
      <c r="H636" s="37">
        <f>SUM(H16:H633)</f>
        <v>15550</v>
      </c>
      <c r="I636" s="37">
        <f>SUM(I16:I633)</f>
        <v>6218.2099999999991</v>
      </c>
      <c r="J636" s="37">
        <f>SUBTOTAL(9,J16:J632)</f>
        <v>711047.78999999969</v>
      </c>
      <c r="K636" s="37">
        <f>SUM(K16:K633)</f>
        <v>376249.52221500024</v>
      </c>
      <c r="L636" s="37">
        <f>SUM(L16:L633)</f>
        <v>930791.50095000002</v>
      </c>
      <c r="M636" s="37">
        <f>SUM(M16:M633)</f>
        <v>159474.12000000002</v>
      </c>
      <c r="N636" s="37">
        <f>SUM(N16:N633)</f>
        <v>397381.48927999998</v>
      </c>
      <c r="O636" s="37">
        <f>SUM(O16:O633)+0.01</f>
        <v>926787.7570050006</v>
      </c>
      <c r="P636" s="37">
        <f>SUM(P16:P633)</f>
        <v>57030.159999999982</v>
      </c>
      <c r="Q636" s="37">
        <f>SUM(Q16:Q633)</f>
        <v>773631.01149499964</v>
      </c>
      <c r="R636" s="37">
        <f>SUM(R16:R633)+0.01</f>
        <v>1882222.7614949995</v>
      </c>
      <c r="S636" s="37">
        <f>SUM(S16:S633)</f>
        <v>2017053.3679549992</v>
      </c>
      <c r="T636" s="37">
        <f>SUM(T16:T633)-0.01</f>
        <v>11227516.688505003</v>
      </c>
      <c r="U636" s="38"/>
    </row>
    <row r="637" spans="1:26" ht="16.2" thickTop="1">
      <c r="A637" s="39"/>
      <c r="B637" s="39"/>
      <c r="C637" s="39"/>
      <c r="D637" s="39"/>
      <c r="E637" s="39"/>
      <c r="M637" s="28"/>
      <c r="P637" s="28"/>
      <c r="Q637" s="29"/>
      <c r="S637" s="29"/>
    </row>
    <row r="638" spans="1:26">
      <c r="G638" s="29"/>
      <c r="J638" s="28"/>
      <c r="P638" s="28"/>
      <c r="Z638" s="40"/>
    </row>
    <row r="639" spans="1:26" ht="15.6">
      <c r="B639" s="41" t="s">
        <v>754</v>
      </c>
      <c r="C639" s="42"/>
      <c r="D639" s="43"/>
      <c r="J639" s="28"/>
      <c r="K639" s="28"/>
      <c r="P639" s="28"/>
    </row>
    <row r="640" spans="1:26" ht="15.6">
      <c r="B640" s="42"/>
      <c r="C640" s="42"/>
      <c r="D640" s="43"/>
      <c r="E640" s="44"/>
      <c r="K640" s="28"/>
      <c r="P640" s="45"/>
    </row>
    <row r="641" spans="1:25" ht="15.6">
      <c r="B641" s="42"/>
      <c r="C641" s="42"/>
      <c r="D641" s="43"/>
      <c r="K641" s="28"/>
      <c r="M641" s="29"/>
      <c r="N641" s="44"/>
      <c r="O641" s="44"/>
      <c r="P641" s="28"/>
      <c r="X641" s="28"/>
      <c r="Y641" s="28"/>
    </row>
    <row r="642" spans="1:25" ht="15.6">
      <c r="B642" s="41" t="s">
        <v>738</v>
      </c>
      <c r="C642" s="42"/>
      <c r="D642" s="43"/>
      <c r="K642" s="28"/>
      <c r="M642" s="44"/>
      <c r="Q642" s="28"/>
    </row>
    <row r="643" spans="1:25" ht="15.6">
      <c r="B643" s="42" t="s">
        <v>739</v>
      </c>
      <c r="C643" s="42"/>
      <c r="D643" s="43"/>
      <c r="J643" s="28"/>
      <c r="K643" s="28"/>
      <c r="O643" s="44"/>
      <c r="P643" s="28"/>
    </row>
    <row r="644" spans="1:25" ht="15.6">
      <c r="B644" s="42" t="s">
        <v>740</v>
      </c>
      <c r="C644" s="42"/>
      <c r="D644" s="43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</row>
    <row r="645" spans="1:25" ht="15.6">
      <c r="B645" s="42" t="s">
        <v>741</v>
      </c>
      <c r="C645" s="42"/>
      <c r="D645" s="43"/>
      <c r="F645" s="3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</row>
    <row r="646" spans="1:25" ht="15.6">
      <c r="B646" s="42" t="s">
        <v>742</v>
      </c>
      <c r="C646" s="42"/>
      <c r="D646" s="43"/>
      <c r="F646" s="3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</row>
    <row r="647" spans="1:25" ht="15.6">
      <c r="B647" s="47"/>
      <c r="C647" s="47"/>
      <c r="D647" s="48"/>
      <c r="F647" s="3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</row>
    <row r="648" spans="1:25" ht="15.6">
      <c r="B648" s="42"/>
      <c r="C648" s="42"/>
      <c r="D648" s="43"/>
      <c r="F648" s="3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</row>
    <row r="649" spans="1:25" ht="15.6">
      <c r="F649" s="3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</row>
    <row r="650" spans="1:25" ht="15.6">
      <c r="F650" s="3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</row>
    <row r="651" spans="1:25" ht="15.6">
      <c r="F651" s="3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</row>
    <row r="652" spans="1:25" ht="15.6">
      <c r="F652" s="3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39"/>
    </row>
    <row r="653" spans="1:25" ht="15.6">
      <c r="F653" s="3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39"/>
    </row>
    <row r="654" spans="1:25" ht="15.6">
      <c r="F654" s="3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39"/>
    </row>
    <row r="655" spans="1:25" ht="15.6">
      <c r="F655" s="3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39"/>
    </row>
    <row r="656" spans="1:25" ht="15.6">
      <c r="A656" s="39"/>
      <c r="B656" s="39"/>
      <c r="C656" s="39"/>
      <c r="D656" s="39"/>
      <c r="E656" s="39"/>
      <c r="F656" s="3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39"/>
    </row>
    <row r="657" spans="1:21" ht="15.6">
      <c r="A657" s="39"/>
      <c r="B657" s="39"/>
      <c r="C657" s="39"/>
      <c r="D657" s="39"/>
      <c r="E657" s="39"/>
      <c r="F657" s="3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39"/>
    </row>
    <row r="658" spans="1:21" ht="15.6">
      <c r="A658" s="39"/>
      <c r="B658" s="39"/>
      <c r="C658" s="39"/>
      <c r="D658" s="39"/>
      <c r="E658" s="39"/>
      <c r="F658" s="3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39"/>
    </row>
    <row r="659" spans="1:21" ht="15.6">
      <c r="A659" s="39"/>
      <c r="B659" s="39"/>
      <c r="C659" s="39"/>
      <c r="D659" s="39"/>
      <c r="E659" s="39"/>
      <c r="F659" s="3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39"/>
    </row>
    <row r="660" spans="1:21" ht="15.6">
      <c r="A660" s="39"/>
      <c r="B660" s="39"/>
      <c r="C660" s="39"/>
      <c r="D660" s="39"/>
      <c r="E660" s="39"/>
      <c r="F660" s="3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39"/>
    </row>
    <row r="661" spans="1:21" ht="15.6">
      <c r="A661" s="39"/>
      <c r="B661" s="39"/>
      <c r="C661" s="39"/>
      <c r="D661" s="39"/>
      <c r="E661" s="39"/>
      <c r="F661" s="3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39"/>
    </row>
    <row r="662" spans="1:21" ht="15.6">
      <c r="A662" s="39"/>
      <c r="B662" s="39"/>
      <c r="C662" s="39"/>
      <c r="D662" s="39"/>
      <c r="E662" s="39"/>
      <c r="F662" s="3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39"/>
    </row>
    <row r="663" spans="1:21" ht="15.6">
      <c r="A663" s="39"/>
      <c r="B663" s="39"/>
      <c r="C663" s="39"/>
      <c r="D663" s="39"/>
      <c r="E663" s="39"/>
      <c r="F663" s="3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39"/>
    </row>
    <row r="664" spans="1:21" ht="15.6">
      <c r="A664" s="39"/>
      <c r="B664" s="39"/>
      <c r="C664" s="39"/>
      <c r="D664" s="39"/>
      <c r="E664" s="39"/>
      <c r="F664" s="3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39"/>
    </row>
    <row r="665" spans="1:21" ht="15.6">
      <c r="A665" s="39"/>
      <c r="B665" s="39"/>
      <c r="C665" s="39"/>
      <c r="D665" s="39"/>
      <c r="E665" s="39"/>
      <c r="F665" s="3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39"/>
    </row>
    <row r="666" spans="1:21" ht="15.6">
      <c r="A666" s="39"/>
      <c r="B666" s="39"/>
      <c r="C666" s="39"/>
      <c r="D666" s="39"/>
      <c r="E666" s="39"/>
      <c r="F666" s="3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39"/>
    </row>
    <row r="667" spans="1:21" ht="15.6">
      <c r="A667" s="39"/>
      <c r="B667" s="39"/>
      <c r="C667" s="39"/>
      <c r="D667" s="39"/>
      <c r="E667" s="39"/>
      <c r="F667" s="3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39"/>
    </row>
    <row r="668" spans="1:21" ht="15.6">
      <c r="A668" s="39"/>
      <c r="B668" s="39"/>
      <c r="C668" s="39"/>
      <c r="D668" s="39"/>
      <c r="E668" s="39"/>
      <c r="F668" s="3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39"/>
    </row>
    <row r="669" spans="1:21" ht="15.6">
      <c r="A669" s="39"/>
      <c r="B669" s="39"/>
      <c r="C669" s="39"/>
      <c r="D669" s="39"/>
      <c r="E669" s="39"/>
      <c r="F669" s="3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39"/>
    </row>
    <row r="670" spans="1:21" ht="15.6">
      <c r="A670" s="39"/>
      <c r="B670" s="39"/>
      <c r="C670" s="39"/>
      <c r="D670" s="39"/>
      <c r="E670" s="39"/>
      <c r="F670" s="3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39"/>
    </row>
    <row r="671" spans="1:21" ht="15.6">
      <c r="A671" s="39"/>
      <c r="B671" s="39"/>
      <c r="C671" s="39"/>
      <c r="D671" s="39"/>
      <c r="E671" s="39"/>
      <c r="F671" s="36"/>
      <c r="G671" s="46"/>
      <c r="H671" s="46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</row>
    <row r="672" spans="1:21" ht="15.6">
      <c r="A672" s="39"/>
      <c r="B672" s="39"/>
      <c r="C672" s="39"/>
      <c r="D672" s="39"/>
      <c r="E672" s="39"/>
      <c r="F672" s="49"/>
      <c r="G672" s="46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spans="1:21" ht="15.6">
      <c r="A673" s="39"/>
      <c r="B673" s="39"/>
      <c r="C673" s="39"/>
      <c r="D673" s="39"/>
      <c r="E673" s="39"/>
      <c r="F673" s="49"/>
      <c r="G673" s="46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spans="1:21" ht="15.6">
      <c r="A674" s="39"/>
      <c r="B674" s="39"/>
      <c r="C674" s="39"/>
      <c r="D674" s="39"/>
      <c r="E674" s="39"/>
      <c r="F674" s="49"/>
      <c r="G674" s="46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spans="1:21" ht="15.6">
      <c r="A675" s="39"/>
      <c r="B675" s="39"/>
      <c r="C675" s="39"/>
      <c r="D675" s="39"/>
      <c r="E675" s="39"/>
      <c r="F675" s="49"/>
      <c r="G675" s="46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spans="1:21" ht="15.6">
      <c r="A676" s="39"/>
      <c r="B676" s="39"/>
      <c r="C676" s="39"/>
      <c r="D676" s="39"/>
      <c r="E676" s="39"/>
      <c r="F676" s="49"/>
      <c r="G676" s="46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spans="1:21" ht="15.6">
      <c r="A677" s="39"/>
      <c r="B677" s="39"/>
      <c r="C677" s="39"/>
      <c r="D677" s="39"/>
      <c r="E677" s="39"/>
      <c r="F677" s="49"/>
      <c r="G677" s="46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spans="1:21" ht="15.6">
      <c r="A678" s="39"/>
      <c r="B678" s="39"/>
      <c r="C678" s="39"/>
      <c r="D678" s="39"/>
      <c r="E678" s="39"/>
      <c r="F678" s="4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spans="1:21" ht="15.6">
      <c r="A679" s="39"/>
      <c r="B679" s="39"/>
      <c r="C679" s="39"/>
      <c r="D679" s="39"/>
      <c r="E679" s="39"/>
      <c r="F679" s="4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spans="1:21" ht="15.6">
      <c r="A680" s="39"/>
      <c r="B680" s="39"/>
      <c r="C680" s="39"/>
      <c r="D680" s="39"/>
      <c r="E680" s="39"/>
      <c r="F680" s="4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spans="1:21" ht="15.6">
      <c r="A681" s="39"/>
      <c r="B681" s="39"/>
      <c r="C681" s="39"/>
      <c r="D681" s="39"/>
      <c r="E681" s="39"/>
      <c r="F681" s="4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spans="1:21" ht="15.6">
      <c r="A682" s="39"/>
      <c r="B682" s="39"/>
      <c r="C682" s="39"/>
      <c r="D682" s="39"/>
      <c r="E682" s="39"/>
      <c r="F682" s="4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spans="1:21" ht="15.6">
      <c r="A683" s="39"/>
      <c r="B683" s="39"/>
      <c r="C683" s="39"/>
      <c r="D683" s="39"/>
      <c r="E683" s="39"/>
      <c r="F683" s="4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spans="1:21" ht="15.6">
      <c r="A684" s="39"/>
      <c r="B684" s="39"/>
      <c r="C684" s="39"/>
      <c r="D684" s="39"/>
      <c r="E684" s="39"/>
      <c r="F684" s="4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spans="1:21" ht="15.6">
      <c r="A685" s="39"/>
      <c r="B685" s="39"/>
      <c r="C685" s="39"/>
      <c r="D685" s="39"/>
      <c r="E685" s="39"/>
      <c r="F685" s="4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spans="1:21" ht="15.6">
      <c r="A686" s="39"/>
      <c r="B686" s="39"/>
      <c r="C686" s="39"/>
      <c r="D686" s="39"/>
      <c r="E686" s="39"/>
      <c r="F686" s="4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spans="1:21" ht="15.6">
      <c r="A687" s="39"/>
      <c r="B687" s="39"/>
      <c r="C687" s="39"/>
      <c r="D687" s="39"/>
      <c r="E687" s="39"/>
      <c r="F687" s="4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spans="1:21" ht="15.6">
      <c r="A688" s="39"/>
      <c r="B688" s="39"/>
      <c r="C688" s="39"/>
      <c r="D688" s="39"/>
      <c r="E688" s="39"/>
      <c r="F688" s="4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spans="1:21" ht="15.6">
      <c r="A689" s="39"/>
      <c r="B689" s="39"/>
      <c r="C689" s="39"/>
      <c r="D689" s="39"/>
      <c r="E689" s="39"/>
      <c r="F689" s="4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spans="1:21" ht="15.6">
      <c r="A690" s="39"/>
      <c r="B690" s="39"/>
      <c r="C690" s="39"/>
      <c r="D690" s="39"/>
      <c r="E690" s="39"/>
      <c r="F690" s="4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spans="1:21" ht="15.6">
      <c r="A691" s="39"/>
      <c r="B691" s="39"/>
      <c r="C691" s="39"/>
      <c r="D691" s="39"/>
      <c r="E691" s="39"/>
      <c r="F691" s="4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spans="1:21" ht="15.6">
      <c r="A692" s="39"/>
      <c r="B692" s="39"/>
      <c r="C692" s="39"/>
      <c r="D692" s="39"/>
      <c r="E692" s="39"/>
      <c r="F692" s="4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spans="1:21" ht="15.6">
      <c r="A693" s="39"/>
      <c r="B693" s="39"/>
      <c r="C693" s="39"/>
      <c r="D693" s="39"/>
      <c r="E693" s="39"/>
      <c r="F693" s="4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spans="1:21" ht="15.6">
      <c r="A694" s="39"/>
      <c r="B694" s="39"/>
      <c r="C694" s="39"/>
      <c r="D694" s="39"/>
      <c r="E694" s="39"/>
      <c r="F694" s="4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spans="1:21" ht="15.6">
      <c r="A695" s="39"/>
      <c r="B695" s="39"/>
      <c r="C695" s="39"/>
      <c r="D695" s="39"/>
      <c r="E695" s="39"/>
      <c r="F695" s="4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spans="1:21" ht="15.6">
      <c r="A696" s="39"/>
      <c r="B696" s="39"/>
      <c r="C696" s="39"/>
      <c r="D696" s="39"/>
      <c r="E696" s="39"/>
      <c r="F696" s="4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spans="1:21" ht="15.6">
      <c r="A697" s="39"/>
      <c r="B697" s="39"/>
      <c r="C697" s="39"/>
      <c r="D697" s="39"/>
      <c r="E697" s="39"/>
      <c r="F697" s="4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spans="1:21" ht="15.6">
      <c r="A698" s="39"/>
      <c r="B698" s="39"/>
      <c r="C698" s="39"/>
      <c r="D698" s="39"/>
      <c r="E698" s="39"/>
      <c r="F698" s="4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spans="1:21" ht="15.6">
      <c r="A699" s="39"/>
      <c r="B699" s="39"/>
      <c r="C699" s="39"/>
      <c r="D699" s="39"/>
      <c r="E699" s="39"/>
      <c r="F699" s="4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spans="1:21" ht="15.6">
      <c r="A700" s="39"/>
      <c r="B700" s="39"/>
      <c r="C700" s="39"/>
      <c r="D700" s="39"/>
      <c r="E700" s="39"/>
      <c r="F700" s="4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spans="1:21" ht="15.6">
      <c r="A701" s="39"/>
      <c r="B701" s="39"/>
      <c r="C701" s="39"/>
      <c r="D701" s="39"/>
      <c r="E701" s="39"/>
      <c r="F701" s="4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spans="1:21" ht="15.6">
      <c r="A702" s="39"/>
      <c r="B702" s="39"/>
      <c r="C702" s="39"/>
      <c r="D702" s="39"/>
      <c r="E702" s="39"/>
      <c r="F702" s="4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spans="1:21" ht="15.6">
      <c r="A703" s="39"/>
      <c r="B703" s="39"/>
      <c r="C703" s="39"/>
      <c r="D703" s="39"/>
      <c r="E703" s="39"/>
      <c r="F703" s="4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spans="1:21" ht="15.6">
      <c r="A704" s="39"/>
      <c r="B704" s="39"/>
      <c r="C704" s="39"/>
      <c r="D704" s="39"/>
      <c r="E704" s="39"/>
      <c r="F704" s="4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spans="1:21" ht="15.6">
      <c r="A705" s="39"/>
      <c r="B705" s="39"/>
      <c r="C705" s="39"/>
      <c r="D705" s="39"/>
      <c r="E705" s="39"/>
      <c r="F705" s="4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spans="1:21" ht="15.6">
      <c r="A706" s="39"/>
      <c r="B706" s="39"/>
      <c r="C706" s="39"/>
      <c r="D706" s="39"/>
      <c r="E706" s="39"/>
      <c r="F706" s="4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spans="1:21" ht="15.6">
      <c r="A707" s="39"/>
      <c r="B707" s="39"/>
      <c r="C707" s="39"/>
      <c r="D707" s="39"/>
      <c r="E707" s="39"/>
      <c r="F707" s="4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spans="1:21" ht="15.6">
      <c r="A708" s="39"/>
      <c r="B708" s="39"/>
      <c r="C708" s="39"/>
      <c r="D708" s="39"/>
      <c r="E708" s="39"/>
      <c r="F708" s="4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spans="1:21" ht="15.6">
      <c r="A709" s="39"/>
      <c r="B709" s="39"/>
      <c r="C709" s="39"/>
      <c r="D709" s="39"/>
      <c r="E709" s="39"/>
      <c r="F709" s="4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spans="1:21" ht="15.6">
      <c r="A710" s="39"/>
      <c r="B710" s="39"/>
      <c r="C710" s="39"/>
      <c r="D710" s="39"/>
      <c r="E710" s="39"/>
      <c r="F710" s="4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spans="1:21" ht="15.6">
      <c r="A711" s="39"/>
      <c r="B711" s="39"/>
      <c r="C711" s="39"/>
      <c r="D711" s="39"/>
      <c r="E711" s="39"/>
      <c r="F711" s="4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spans="1:21" ht="15.6">
      <c r="A712" s="39"/>
      <c r="B712" s="39"/>
      <c r="C712" s="39"/>
      <c r="D712" s="39"/>
      <c r="E712" s="39"/>
      <c r="F712" s="4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spans="1:21" ht="15.6">
      <c r="A713" s="39"/>
      <c r="B713" s="39"/>
      <c r="C713" s="39"/>
      <c r="D713" s="39"/>
      <c r="E713" s="39"/>
      <c r="F713" s="4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spans="1:21" ht="15.6">
      <c r="A714" s="39"/>
      <c r="B714" s="39"/>
      <c r="C714" s="39"/>
      <c r="D714" s="39"/>
      <c r="E714" s="39"/>
      <c r="F714" s="4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spans="1:21" ht="15.6">
      <c r="A715" s="39"/>
      <c r="B715" s="39"/>
      <c r="C715" s="39"/>
      <c r="D715" s="39"/>
      <c r="E715" s="39"/>
      <c r="F715" s="4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spans="1:21" ht="15.6">
      <c r="A716" s="39"/>
      <c r="B716" s="39"/>
      <c r="C716" s="39"/>
      <c r="D716" s="39"/>
      <c r="E716" s="39"/>
      <c r="F716" s="4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spans="1:21" ht="15.6">
      <c r="A717" s="39"/>
      <c r="B717" s="39"/>
      <c r="C717" s="39"/>
      <c r="D717" s="39"/>
      <c r="E717" s="39"/>
      <c r="F717" s="4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spans="1:21" ht="15.6">
      <c r="A718" s="39"/>
      <c r="B718" s="39"/>
      <c r="C718" s="39"/>
      <c r="D718" s="39"/>
      <c r="E718" s="39"/>
      <c r="F718" s="4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spans="1:21" ht="15.6">
      <c r="A719" s="39"/>
      <c r="B719" s="39"/>
      <c r="C719" s="39"/>
      <c r="D719" s="39"/>
      <c r="E719" s="39"/>
      <c r="F719" s="4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spans="1:21" ht="15.6">
      <c r="A720" s="39"/>
      <c r="B720" s="39"/>
      <c r="C720" s="39"/>
      <c r="D720" s="39"/>
      <c r="E720" s="39"/>
      <c r="F720" s="4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spans="1:21" ht="15.6">
      <c r="A721" s="39"/>
      <c r="B721" s="39"/>
      <c r="C721" s="39"/>
      <c r="D721" s="39"/>
      <c r="E721" s="39"/>
      <c r="F721" s="4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spans="1:21" ht="15.6">
      <c r="A722" s="39"/>
      <c r="B722" s="39"/>
      <c r="C722" s="39"/>
      <c r="D722" s="39"/>
      <c r="E722" s="39"/>
      <c r="F722" s="4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spans="1:21" ht="15.6">
      <c r="A723" s="39"/>
      <c r="B723" s="39"/>
      <c r="C723" s="39"/>
      <c r="D723" s="39"/>
      <c r="E723" s="39"/>
      <c r="F723" s="4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spans="1:21" ht="15.6">
      <c r="A724" s="39"/>
      <c r="B724" s="39"/>
      <c r="C724" s="39"/>
      <c r="D724" s="39"/>
      <c r="E724" s="39"/>
      <c r="F724" s="4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spans="1:21" ht="15.6">
      <c r="A725" s="39"/>
      <c r="B725" s="39"/>
      <c r="C725" s="39"/>
      <c r="D725" s="39"/>
      <c r="E725" s="39"/>
      <c r="F725" s="4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spans="1:21" ht="15.6">
      <c r="A726" s="39"/>
      <c r="B726" s="39"/>
      <c r="C726" s="39"/>
      <c r="D726" s="39"/>
      <c r="E726" s="39"/>
      <c r="F726" s="4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spans="1:21" ht="15.6">
      <c r="A727" s="39"/>
      <c r="B727" s="39"/>
      <c r="C727" s="39"/>
      <c r="D727" s="39"/>
      <c r="E727" s="39"/>
      <c r="F727" s="4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spans="1:21" ht="15.6">
      <c r="A728" s="39"/>
      <c r="B728" s="39"/>
      <c r="C728" s="39"/>
      <c r="D728" s="39"/>
      <c r="E728" s="39"/>
      <c r="F728" s="4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spans="1:21" ht="15.6">
      <c r="A729" s="39"/>
      <c r="B729" s="39"/>
      <c r="C729" s="39"/>
      <c r="D729" s="39"/>
      <c r="E729" s="39"/>
      <c r="F729" s="4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spans="1:21" ht="15.6">
      <c r="A730" s="39"/>
      <c r="B730" s="39"/>
      <c r="C730" s="39"/>
      <c r="D730" s="39"/>
      <c r="E730" s="39"/>
      <c r="F730" s="4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spans="1:21" ht="15.6">
      <c r="A731" s="39"/>
      <c r="B731" s="39"/>
      <c r="C731" s="39"/>
      <c r="D731" s="39"/>
      <c r="E731" s="39"/>
      <c r="F731" s="4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spans="1:21" ht="15.6">
      <c r="A732" s="39"/>
      <c r="B732" s="39"/>
      <c r="C732" s="39"/>
      <c r="D732" s="39"/>
      <c r="E732" s="39"/>
      <c r="F732" s="4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spans="1:21" ht="15.6">
      <c r="A733" s="39"/>
      <c r="B733" s="39"/>
      <c r="C733" s="39"/>
      <c r="D733" s="39"/>
      <c r="E733" s="39"/>
      <c r="F733" s="4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spans="1:21" ht="15.6">
      <c r="A734" s="39"/>
      <c r="B734" s="39"/>
      <c r="C734" s="39"/>
      <c r="D734" s="39"/>
      <c r="E734" s="39"/>
      <c r="F734" s="4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spans="1:21" ht="15.6">
      <c r="A735" s="39"/>
      <c r="B735" s="39"/>
      <c r="C735" s="39"/>
      <c r="D735" s="39"/>
      <c r="E735" s="39"/>
      <c r="F735" s="4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spans="1:21" ht="15.6">
      <c r="A736" s="39"/>
      <c r="B736" s="39"/>
      <c r="C736" s="39"/>
      <c r="D736" s="39"/>
      <c r="E736" s="39"/>
      <c r="F736" s="4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spans="1:21" ht="15.6">
      <c r="A737" s="39"/>
      <c r="B737" s="39"/>
      <c r="C737" s="39"/>
      <c r="D737" s="39"/>
      <c r="E737" s="39"/>
      <c r="F737" s="4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spans="1:21" ht="15.6">
      <c r="A738" s="39"/>
      <c r="B738" s="39"/>
      <c r="C738" s="39"/>
      <c r="D738" s="39"/>
      <c r="E738" s="39"/>
      <c r="F738" s="4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spans="1:21" ht="15.6">
      <c r="A739" s="39"/>
      <c r="B739" s="39"/>
      <c r="C739" s="39"/>
      <c r="D739" s="39"/>
      <c r="E739" s="39"/>
      <c r="F739" s="4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spans="1:21" ht="15.6">
      <c r="A740" s="39"/>
      <c r="B740" s="39"/>
      <c r="C740" s="39"/>
      <c r="D740" s="39"/>
      <c r="E740" s="39"/>
      <c r="F740" s="4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spans="1:21" ht="15.6">
      <c r="A741" s="39"/>
      <c r="B741" s="39"/>
      <c r="C741" s="39"/>
      <c r="D741" s="39"/>
      <c r="E741" s="39"/>
      <c r="F741" s="4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spans="1:21" ht="15.6">
      <c r="A742" s="39"/>
      <c r="B742" s="39"/>
      <c r="C742" s="39"/>
      <c r="D742" s="39"/>
      <c r="E742" s="39"/>
      <c r="F742" s="4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spans="1:21" ht="15.6">
      <c r="A743" s="39"/>
      <c r="B743" s="39"/>
      <c r="C743" s="39"/>
      <c r="D743" s="39"/>
      <c r="E743" s="39"/>
      <c r="F743" s="4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spans="1:21" ht="15.6">
      <c r="A744" s="39"/>
      <c r="B744" s="39"/>
      <c r="C744" s="39"/>
      <c r="D744" s="39"/>
      <c r="E744" s="39"/>
      <c r="F744" s="4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spans="1:21" ht="15.6">
      <c r="A745" s="39"/>
      <c r="B745" s="39"/>
      <c r="C745" s="39"/>
      <c r="D745" s="39"/>
      <c r="E745" s="39"/>
      <c r="F745" s="4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spans="1:21" ht="15.6">
      <c r="A746" s="39"/>
      <c r="B746" s="39"/>
      <c r="C746" s="39"/>
      <c r="D746" s="39"/>
      <c r="E746" s="39"/>
      <c r="F746" s="4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spans="1:21" ht="15.6">
      <c r="A747" s="39"/>
      <c r="B747" s="39"/>
      <c r="C747" s="39"/>
      <c r="D747" s="39"/>
      <c r="E747" s="39"/>
      <c r="F747" s="4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spans="1:21" ht="15.6">
      <c r="A748" s="39"/>
      <c r="B748" s="39"/>
      <c r="C748" s="39"/>
      <c r="D748" s="39"/>
      <c r="E748" s="39"/>
      <c r="F748" s="4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spans="1:21" ht="15.6">
      <c r="A749" s="39"/>
      <c r="B749" s="39"/>
      <c r="C749" s="39"/>
      <c r="D749" s="39"/>
      <c r="E749" s="39"/>
      <c r="F749" s="4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spans="1:21" ht="15.6">
      <c r="A750" s="39"/>
      <c r="B750" s="39"/>
      <c r="C750" s="39"/>
      <c r="D750" s="39"/>
      <c r="E750" s="39"/>
      <c r="F750" s="4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spans="1:21" ht="15.6">
      <c r="A751" s="39"/>
      <c r="B751" s="39"/>
      <c r="C751" s="39"/>
      <c r="D751" s="39"/>
      <c r="E751" s="39"/>
      <c r="F751" s="4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spans="1:21" ht="15.6">
      <c r="A752" s="39"/>
      <c r="B752" s="39"/>
      <c r="C752" s="39"/>
      <c r="D752" s="39"/>
      <c r="E752" s="39"/>
      <c r="F752" s="4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spans="1:21" ht="15.6">
      <c r="A753" s="39"/>
      <c r="B753" s="39"/>
      <c r="C753" s="39"/>
      <c r="D753" s="39"/>
      <c r="E753" s="39"/>
      <c r="F753" s="4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spans="1:21" ht="15.6">
      <c r="A754" s="39"/>
      <c r="B754" s="39"/>
      <c r="C754" s="39"/>
      <c r="D754" s="39"/>
      <c r="E754" s="39"/>
      <c r="F754" s="4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spans="1:21" ht="15.6">
      <c r="A755" s="39"/>
      <c r="B755" s="39"/>
      <c r="C755" s="39"/>
      <c r="D755" s="39"/>
      <c r="E755" s="39"/>
      <c r="F755" s="4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spans="1:21" ht="15.6">
      <c r="A756" s="39"/>
      <c r="B756" s="39"/>
      <c r="C756" s="39"/>
      <c r="D756" s="39"/>
      <c r="E756" s="39"/>
      <c r="F756" s="4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spans="1:21" ht="15.6">
      <c r="A757" s="39"/>
      <c r="B757" s="39"/>
      <c r="C757" s="39"/>
      <c r="D757" s="39"/>
      <c r="E757" s="39"/>
      <c r="F757" s="4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spans="1:21" ht="15.6">
      <c r="A758" s="39"/>
      <c r="B758" s="39"/>
      <c r="C758" s="39"/>
      <c r="D758" s="39"/>
      <c r="E758" s="39"/>
      <c r="F758" s="4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spans="1:21" ht="15.6">
      <c r="A759" s="39"/>
      <c r="B759" s="39"/>
      <c r="C759" s="39"/>
      <c r="D759" s="39"/>
      <c r="E759" s="39"/>
      <c r="F759" s="4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spans="1:21" ht="15.6">
      <c r="A760" s="39"/>
      <c r="B760" s="39"/>
      <c r="C760" s="39"/>
      <c r="D760" s="39"/>
      <c r="E760" s="39"/>
      <c r="F760" s="4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spans="1:21" ht="15.6">
      <c r="A761" s="39"/>
      <c r="B761" s="39"/>
      <c r="C761" s="39"/>
      <c r="D761" s="39"/>
      <c r="E761" s="39"/>
      <c r="F761" s="4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spans="1:21" ht="15.6">
      <c r="A762" s="39"/>
      <c r="B762" s="39"/>
      <c r="C762" s="39"/>
      <c r="D762" s="39"/>
      <c r="E762" s="39"/>
      <c r="F762" s="4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spans="1:21" ht="15.6">
      <c r="A763" s="39"/>
      <c r="B763" s="39"/>
      <c r="C763" s="39"/>
      <c r="D763" s="39"/>
      <c r="E763" s="39"/>
      <c r="F763" s="4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spans="1:21" ht="15.6">
      <c r="A764" s="39"/>
      <c r="B764" s="39"/>
      <c r="C764" s="39"/>
      <c r="D764" s="39"/>
      <c r="E764" s="39"/>
      <c r="F764" s="4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spans="1:21" ht="15.6">
      <c r="A765" s="39"/>
      <c r="B765" s="39"/>
      <c r="C765" s="39"/>
      <c r="D765" s="39"/>
      <c r="E765" s="39"/>
      <c r="F765" s="4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spans="1:21" ht="15.6">
      <c r="A766" s="39"/>
      <c r="B766" s="39"/>
      <c r="C766" s="39"/>
      <c r="D766" s="39"/>
      <c r="E766" s="39"/>
      <c r="F766" s="4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spans="1:21" ht="15.6">
      <c r="A767" s="39"/>
      <c r="B767" s="39"/>
      <c r="C767" s="39"/>
      <c r="D767" s="39"/>
      <c r="E767" s="39"/>
      <c r="F767" s="4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spans="1:21" ht="15.6">
      <c r="A768" s="39"/>
      <c r="B768" s="39"/>
      <c r="C768" s="39"/>
      <c r="D768" s="39"/>
      <c r="E768" s="39"/>
      <c r="F768" s="4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spans="1:21" ht="15.6">
      <c r="A769" s="39"/>
      <c r="B769" s="39"/>
      <c r="C769" s="39"/>
      <c r="D769" s="39"/>
      <c r="E769" s="39"/>
      <c r="F769" s="4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spans="1:21" ht="15.6">
      <c r="A770" s="39"/>
      <c r="B770" s="39"/>
      <c r="C770" s="39"/>
      <c r="D770" s="39"/>
      <c r="E770" s="39"/>
      <c r="F770" s="4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spans="1:21" ht="15.6">
      <c r="A771" s="39"/>
      <c r="B771" s="39"/>
      <c r="C771" s="39"/>
      <c r="D771" s="39"/>
      <c r="E771" s="39"/>
      <c r="F771" s="4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spans="1:21" ht="15.6">
      <c r="A772" s="39"/>
      <c r="B772" s="39"/>
      <c r="C772" s="39"/>
      <c r="D772" s="39"/>
      <c r="E772" s="39"/>
      <c r="F772" s="4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spans="1:21" ht="15.6">
      <c r="A773" s="39"/>
      <c r="B773" s="39"/>
      <c r="C773" s="39"/>
      <c r="D773" s="39"/>
      <c r="E773" s="39"/>
      <c r="F773" s="4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spans="1:21" ht="15.6">
      <c r="A774" s="39"/>
      <c r="B774" s="39"/>
      <c r="C774" s="39"/>
      <c r="D774" s="39"/>
      <c r="E774" s="39"/>
      <c r="F774" s="4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spans="1:21" ht="15.6">
      <c r="A775" s="39"/>
      <c r="B775" s="39"/>
      <c r="C775" s="39"/>
      <c r="D775" s="39"/>
      <c r="E775" s="39"/>
      <c r="F775" s="4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spans="1:21" ht="15.6">
      <c r="A776" s="39"/>
      <c r="B776" s="39"/>
      <c r="C776" s="39"/>
      <c r="D776" s="39"/>
      <c r="E776" s="39"/>
      <c r="F776" s="4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spans="1:21" ht="15.6">
      <c r="A777" s="39"/>
      <c r="B777" s="39"/>
      <c r="C777" s="39"/>
      <c r="D777" s="39"/>
      <c r="E777" s="39"/>
      <c r="F777" s="4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spans="1:21" ht="15.6">
      <c r="A778" s="39"/>
      <c r="B778" s="39"/>
      <c r="C778" s="39"/>
      <c r="D778" s="39"/>
      <c r="E778" s="39"/>
      <c r="F778" s="4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spans="1:21" ht="15.6">
      <c r="A779" s="39"/>
      <c r="B779" s="39"/>
      <c r="C779" s="39"/>
      <c r="D779" s="39"/>
      <c r="E779" s="39"/>
      <c r="F779" s="4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spans="1:21" ht="15.6">
      <c r="A780" s="39"/>
      <c r="B780" s="39"/>
      <c r="C780" s="39"/>
      <c r="D780" s="39"/>
      <c r="E780" s="39"/>
      <c r="F780" s="4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spans="1:21" ht="15.6">
      <c r="A781" s="39"/>
      <c r="B781" s="39"/>
      <c r="C781" s="39"/>
      <c r="D781" s="39"/>
      <c r="E781" s="39"/>
      <c r="F781" s="4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spans="1:21" ht="15.6">
      <c r="A782" s="39"/>
      <c r="B782" s="39"/>
      <c r="C782" s="39"/>
      <c r="D782" s="39"/>
      <c r="E782" s="39"/>
      <c r="F782" s="4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spans="1:21" ht="15.6">
      <c r="A783" s="39"/>
      <c r="B783" s="39"/>
      <c r="C783" s="39"/>
      <c r="D783" s="39"/>
      <c r="E783" s="39"/>
      <c r="F783" s="4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spans="1:21" ht="15.6">
      <c r="A784" s="39"/>
      <c r="B784" s="39"/>
      <c r="C784" s="39"/>
      <c r="D784" s="39"/>
      <c r="E784" s="39"/>
      <c r="F784" s="4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spans="1:21" ht="15.6">
      <c r="A785" s="39"/>
      <c r="B785" s="39"/>
      <c r="C785" s="39"/>
      <c r="D785" s="39"/>
      <c r="E785" s="39"/>
      <c r="F785" s="4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spans="1:21" ht="15.6">
      <c r="A786" s="39"/>
      <c r="B786" s="39"/>
      <c r="C786" s="39"/>
      <c r="D786" s="39"/>
      <c r="E786" s="39"/>
      <c r="F786" s="4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spans="1:21" ht="15.6">
      <c r="A787" s="39"/>
      <c r="B787" s="39"/>
      <c r="C787" s="39"/>
      <c r="D787" s="39"/>
      <c r="E787" s="39"/>
      <c r="F787" s="4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spans="1:21" ht="15.6">
      <c r="A788" s="39"/>
      <c r="B788" s="39"/>
      <c r="C788" s="39"/>
      <c r="D788" s="39"/>
      <c r="E788" s="39"/>
      <c r="F788" s="4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spans="1:21" ht="15.6">
      <c r="A789" s="39"/>
      <c r="B789" s="39"/>
      <c r="C789" s="39"/>
      <c r="D789" s="39"/>
      <c r="E789" s="39"/>
      <c r="F789" s="4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spans="1:21" ht="15.6">
      <c r="A790" s="39"/>
      <c r="B790" s="39"/>
      <c r="C790" s="39"/>
      <c r="D790" s="39"/>
      <c r="E790" s="39"/>
      <c r="F790" s="4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spans="1:21" ht="15.6">
      <c r="A791" s="39"/>
      <c r="B791" s="39"/>
      <c r="C791" s="39"/>
      <c r="D791" s="39"/>
      <c r="E791" s="39"/>
      <c r="F791" s="4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spans="1:21" ht="15.6">
      <c r="A792" s="39"/>
      <c r="B792" s="39"/>
      <c r="C792" s="39"/>
      <c r="D792" s="39"/>
      <c r="E792" s="39"/>
      <c r="F792" s="4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spans="1:21" ht="15.6">
      <c r="A793" s="39"/>
      <c r="B793" s="39"/>
      <c r="C793" s="39"/>
      <c r="D793" s="39"/>
      <c r="E793" s="39"/>
      <c r="F793" s="4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spans="1:21" ht="15.6">
      <c r="A794" s="39"/>
      <c r="B794" s="39"/>
      <c r="C794" s="39"/>
      <c r="D794" s="39"/>
      <c r="E794" s="39"/>
      <c r="F794" s="4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spans="1:21" ht="15.6">
      <c r="A795" s="39"/>
      <c r="B795" s="39"/>
      <c r="C795" s="39"/>
      <c r="D795" s="39"/>
      <c r="E795" s="39"/>
      <c r="F795" s="4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spans="1:21" ht="15.6">
      <c r="A796" s="39"/>
      <c r="B796" s="39"/>
      <c r="C796" s="39"/>
      <c r="D796" s="39"/>
      <c r="E796" s="39"/>
      <c r="F796" s="4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spans="1:21" ht="15.6">
      <c r="A797" s="39"/>
      <c r="B797" s="39"/>
      <c r="C797" s="39"/>
      <c r="D797" s="39"/>
      <c r="E797" s="39"/>
      <c r="F797" s="4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spans="1:21" ht="15.6">
      <c r="A798" s="39"/>
      <c r="B798" s="39"/>
      <c r="C798" s="39"/>
      <c r="D798" s="39"/>
      <c r="E798" s="39"/>
      <c r="F798" s="4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spans="1:21" ht="15.6">
      <c r="A799" s="39"/>
      <c r="B799" s="39"/>
      <c r="C799" s="39"/>
      <c r="D799" s="39"/>
      <c r="E799" s="39"/>
      <c r="F799" s="4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spans="1:21" ht="15.6">
      <c r="A800" s="39"/>
      <c r="B800" s="39"/>
      <c r="C800" s="39"/>
      <c r="D800" s="39"/>
      <c r="E800" s="39"/>
      <c r="F800" s="4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spans="1:21" ht="15.6">
      <c r="A801" s="39"/>
      <c r="B801" s="39"/>
      <c r="C801" s="39"/>
      <c r="D801" s="39"/>
      <c r="E801" s="39"/>
      <c r="F801" s="4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spans="1:21" ht="15.6">
      <c r="A802" s="39"/>
      <c r="B802" s="39"/>
      <c r="C802" s="39"/>
      <c r="D802" s="39"/>
      <c r="E802" s="39"/>
      <c r="F802" s="4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spans="1:21" ht="15.6">
      <c r="A803" s="39"/>
      <c r="B803" s="39"/>
      <c r="C803" s="39"/>
      <c r="D803" s="39"/>
      <c r="E803" s="39"/>
      <c r="F803" s="4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spans="1:21" ht="15.6">
      <c r="A804" s="39"/>
      <c r="B804" s="39"/>
      <c r="C804" s="39"/>
      <c r="D804" s="39"/>
      <c r="E804" s="39"/>
      <c r="F804" s="4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spans="1:21" ht="15.6">
      <c r="A805" s="39"/>
      <c r="B805" s="39"/>
      <c r="C805" s="39"/>
      <c r="D805" s="39"/>
      <c r="E805" s="39"/>
      <c r="F805" s="4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spans="1:21" ht="15.6">
      <c r="A806" s="39"/>
      <c r="B806" s="39"/>
      <c r="C806" s="39"/>
      <c r="D806" s="39"/>
      <c r="E806" s="39"/>
      <c r="F806" s="4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spans="1:21" ht="15.6">
      <c r="A807" s="39"/>
      <c r="B807" s="39"/>
      <c r="C807" s="39"/>
      <c r="D807" s="39"/>
      <c r="E807" s="39"/>
      <c r="F807" s="4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spans="1:21" ht="15.6">
      <c r="A808" s="39"/>
      <c r="B808" s="39"/>
      <c r="C808" s="39"/>
      <c r="D808" s="39"/>
      <c r="E808" s="39"/>
      <c r="F808" s="4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spans="1:21" ht="15.6">
      <c r="A809" s="39"/>
      <c r="B809" s="39"/>
      <c r="C809" s="39"/>
      <c r="D809" s="39"/>
      <c r="E809" s="39"/>
      <c r="F809" s="4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spans="1:21" ht="15.6">
      <c r="A810" s="39"/>
      <c r="B810" s="39"/>
      <c r="C810" s="39"/>
      <c r="D810" s="39"/>
      <c r="E810" s="39"/>
      <c r="F810" s="4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spans="1:21" ht="15.6">
      <c r="A811" s="39"/>
      <c r="B811" s="39"/>
      <c r="C811" s="39"/>
      <c r="D811" s="39"/>
      <c r="E811" s="39"/>
      <c r="F811" s="4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spans="1:21" ht="15.6">
      <c r="A812" s="39"/>
      <c r="B812" s="39"/>
      <c r="C812" s="39"/>
      <c r="D812" s="39"/>
      <c r="E812" s="39"/>
      <c r="F812" s="4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spans="1:21" ht="15.6">
      <c r="A813" s="39"/>
      <c r="B813" s="39"/>
      <c r="C813" s="39"/>
      <c r="D813" s="39"/>
      <c r="E813" s="39"/>
      <c r="F813" s="4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spans="1:21" ht="15.6">
      <c r="A814" s="39"/>
      <c r="B814" s="39"/>
      <c r="C814" s="39"/>
      <c r="D814" s="39"/>
      <c r="E814" s="39"/>
      <c r="F814" s="4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spans="1:21" ht="15.6">
      <c r="A815" s="39"/>
      <c r="B815" s="39"/>
      <c r="C815" s="39"/>
      <c r="D815" s="39"/>
      <c r="E815" s="39"/>
      <c r="F815" s="4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spans="1:21" ht="15.6">
      <c r="A816" s="39"/>
      <c r="B816" s="39"/>
      <c r="C816" s="39"/>
      <c r="D816" s="39"/>
      <c r="E816" s="39"/>
      <c r="F816" s="4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spans="1:21" ht="15.6">
      <c r="A817" s="39"/>
      <c r="B817" s="39"/>
      <c r="C817" s="39"/>
      <c r="D817" s="39"/>
      <c r="E817" s="39"/>
      <c r="F817" s="4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spans="1:21" ht="15.6">
      <c r="A818" s="39"/>
      <c r="B818" s="39"/>
      <c r="C818" s="39"/>
      <c r="D818" s="39"/>
      <c r="E818" s="39"/>
      <c r="F818" s="4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spans="1:21" ht="15.6">
      <c r="A819" s="39"/>
      <c r="B819" s="39"/>
      <c r="C819" s="39"/>
      <c r="D819" s="39"/>
      <c r="E819" s="39"/>
      <c r="F819" s="4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spans="1:21" ht="15.6">
      <c r="A820" s="39"/>
      <c r="B820" s="39"/>
      <c r="C820" s="39"/>
      <c r="D820" s="39"/>
      <c r="E820" s="39"/>
      <c r="F820" s="4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spans="1:21" ht="15.6">
      <c r="A821" s="39"/>
      <c r="B821" s="39"/>
      <c r="C821" s="39"/>
      <c r="D821" s="39"/>
      <c r="E821" s="39"/>
      <c r="F821" s="4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spans="1:21" ht="15.6">
      <c r="A822" s="39"/>
      <c r="B822" s="39"/>
      <c r="C822" s="39"/>
      <c r="D822" s="39"/>
      <c r="E822" s="39"/>
      <c r="F822" s="4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spans="1:21" ht="15.6">
      <c r="A823" s="39"/>
      <c r="B823" s="39"/>
      <c r="C823" s="39"/>
      <c r="D823" s="39"/>
      <c r="E823" s="39"/>
      <c r="F823" s="4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spans="1:21" ht="15.6">
      <c r="A824" s="39"/>
      <c r="B824" s="39"/>
      <c r="C824" s="39"/>
      <c r="D824" s="39"/>
      <c r="E824" s="39"/>
      <c r="F824" s="4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spans="1:21" ht="15.6">
      <c r="A825" s="39"/>
      <c r="B825" s="39"/>
      <c r="C825" s="39"/>
      <c r="D825" s="39"/>
      <c r="E825" s="39"/>
      <c r="F825" s="4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spans="1:21" ht="15.6">
      <c r="A826" s="39"/>
      <c r="B826" s="39"/>
      <c r="C826" s="39"/>
      <c r="D826" s="39"/>
      <c r="E826" s="39"/>
      <c r="F826" s="4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spans="1:21" ht="15.6">
      <c r="A827" s="39"/>
      <c r="B827" s="39"/>
      <c r="C827" s="39"/>
      <c r="D827" s="39"/>
      <c r="E827" s="39"/>
      <c r="F827" s="4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spans="1:21" ht="15.6">
      <c r="A828" s="39"/>
      <c r="B828" s="39"/>
      <c r="C828" s="39"/>
      <c r="D828" s="39"/>
      <c r="E828" s="39"/>
      <c r="F828" s="4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spans="1:21" ht="15.6">
      <c r="A829" s="39"/>
      <c r="B829" s="39"/>
      <c r="C829" s="39"/>
      <c r="D829" s="39"/>
      <c r="E829" s="39"/>
      <c r="F829" s="4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spans="1:21" ht="15.6">
      <c r="A830" s="39"/>
      <c r="B830" s="39"/>
      <c r="C830" s="39"/>
      <c r="D830" s="39"/>
      <c r="E830" s="39"/>
      <c r="F830" s="4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spans="1:21" ht="15.6">
      <c r="A831" s="39"/>
      <c r="B831" s="39"/>
      <c r="C831" s="39"/>
      <c r="D831" s="39"/>
      <c r="E831" s="39"/>
      <c r="F831" s="4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spans="1:21" ht="15.6">
      <c r="A832" s="39"/>
      <c r="B832" s="39"/>
      <c r="C832" s="39"/>
      <c r="D832" s="39"/>
      <c r="E832" s="39"/>
      <c r="F832" s="4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spans="1:21" ht="15.6">
      <c r="A833" s="39"/>
      <c r="B833" s="39"/>
      <c r="C833" s="39"/>
      <c r="D833" s="39"/>
      <c r="E833" s="39"/>
      <c r="F833" s="4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spans="1:21" ht="15.6">
      <c r="A834" s="39"/>
      <c r="B834" s="39"/>
      <c r="C834" s="39"/>
      <c r="D834" s="39"/>
      <c r="E834" s="39"/>
      <c r="F834" s="4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spans="1:21" ht="15.6">
      <c r="A835" s="39"/>
      <c r="B835" s="39"/>
      <c r="C835" s="39"/>
      <c r="D835" s="39"/>
      <c r="E835" s="39"/>
      <c r="F835" s="4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spans="1:21" ht="15.6">
      <c r="A836" s="39"/>
      <c r="B836" s="39"/>
      <c r="C836" s="39"/>
      <c r="D836" s="39"/>
      <c r="E836" s="39"/>
      <c r="F836" s="4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spans="1:21" ht="15.6">
      <c r="A837" s="39"/>
      <c r="B837" s="39"/>
      <c r="C837" s="39"/>
      <c r="D837" s="39"/>
      <c r="E837" s="39"/>
      <c r="F837" s="4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spans="1:21" ht="15.6">
      <c r="A838" s="39"/>
      <c r="B838" s="39"/>
      <c r="C838" s="39"/>
      <c r="D838" s="39"/>
      <c r="E838" s="39"/>
      <c r="F838" s="4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spans="1:21" ht="15.6">
      <c r="A839" s="39"/>
      <c r="B839" s="39"/>
      <c r="C839" s="39"/>
      <c r="D839" s="39"/>
      <c r="E839" s="39"/>
      <c r="F839" s="4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spans="1:21" ht="15.6">
      <c r="A840" s="39"/>
      <c r="B840" s="39"/>
      <c r="C840" s="39"/>
      <c r="D840" s="39"/>
      <c r="E840" s="39"/>
      <c r="F840" s="4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spans="1:21" ht="15.6">
      <c r="A841" s="39"/>
      <c r="B841" s="39"/>
      <c r="C841" s="39"/>
      <c r="D841" s="39"/>
      <c r="E841" s="39"/>
      <c r="F841" s="4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spans="1:21" ht="15.6">
      <c r="A842" s="39"/>
      <c r="B842" s="39"/>
      <c r="C842" s="39"/>
      <c r="D842" s="39"/>
      <c r="E842" s="39"/>
      <c r="F842" s="4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spans="1:21" ht="15.6">
      <c r="A843" s="39"/>
      <c r="B843" s="39"/>
      <c r="C843" s="39"/>
      <c r="D843" s="39"/>
      <c r="E843" s="39"/>
      <c r="F843" s="4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spans="1:21" ht="15.6">
      <c r="A844" s="39"/>
      <c r="B844" s="39"/>
      <c r="C844" s="39"/>
      <c r="D844" s="39"/>
      <c r="E844" s="39"/>
      <c r="F844" s="4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spans="1:21" ht="15.6">
      <c r="A845" s="39"/>
      <c r="B845" s="39"/>
      <c r="C845" s="39"/>
      <c r="D845" s="39"/>
      <c r="E845" s="39"/>
      <c r="F845" s="4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spans="1:21" ht="15.6">
      <c r="A846" s="39"/>
      <c r="B846" s="39"/>
      <c r="C846" s="39"/>
      <c r="D846" s="39"/>
      <c r="E846" s="39"/>
      <c r="F846" s="4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spans="1:21" ht="15.6">
      <c r="A847" s="39"/>
      <c r="B847" s="39"/>
      <c r="C847" s="39"/>
      <c r="D847" s="39"/>
      <c r="E847" s="39"/>
      <c r="F847" s="4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spans="1:21" ht="15.6">
      <c r="A848" s="39"/>
      <c r="B848" s="39"/>
      <c r="C848" s="39"/>
      <c r="D848" s="39"/>
      <c r="E848" s="39"/>
      <c r="F848" s="4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spans="1:21" ht="15.6">
      <c r="A849" s="39"/>
      <c r="B849" s="39"/>
      <c r="C849" s="39"/>
      <c r="D849" s="39"/>
      <c r="E849" s="39"/>
      <c r="F849" s="4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spans="1:21" ht="15.6">
      <c r="A850" s="39"/>
      <c r="B850" s="39"/>
      <c r="C850" s="39"/>
      <c r="D850" s="39"/>
      <c r="E850" s="39"/>
      <c r="F850" s="4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spans="1:21" ht="15.6">
      <c r="A851" s="39"/>
      <c r="B851" s="39"/>
      <c r="C851" s="39"/>
      <c r="D851" s="39"/>
      <c r="E851" s="39"/>
      <c r="F851" s="4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spans="1:21" ht="15.6">
      <c r="A852" s="39"/>
      <c r="B852" s="39"/>
      <c r="C852" s="39"/>
      <c r="D852" s="39"/>
      <c r="E852" s="39"/>
      <c r="F852" s="4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spans="1:21" ht="15.6">
      <c r="A853" s="39"/>
      <c r="B853" s="39"/>
      <c r="C853" s="39"/>
      <c r="D853" s="39"/>
      <c r="E853" s="39"/>
      <c r="F853" s="4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spans="1:21" ht="15.6">
      <c r="A854" s="39"/>
      <c r="B854" s="39"/>
      <c r="C854" s="39"/>
      <c r="D854" s="39"/>
      <c r="E854" s="39"/>
      <c r="F854" s="4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spans="1:21" ht="15.6">
      <c r="A855" s="39"/>
      <c r="B855" s="39"/>
      <c r="C855" s="39"/>
      <c r="D855" s="39"/>
      <c r="E855" s="39"/>
      <c r="F855" s="4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spans="1:21" ht="15.6">
      <c r="A856" s="39"/>
      <c r="B856" s="39"/>
      <c r="C856" s="39"/>
      <c r="D856" s="39"/>
      <c r="E856" s="39"/>
      <c r="F856" s="4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spans="1:21" ht="15.6">
      <c r="A857" s="39"/>
      <c r="B857" s="39"/>
      <c r="C857" s="39"/>
      <c r="D857" s="39"/>
      <c r="E857" s="39"/>
      <c r="F857" s="4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spans="1:21" ht="15.6">
      <c r="A858" s="39"/>
      <c r="B858" s="39"/>
      <c r="C858" s="39"/>
      <c r="D858" s="39"/>
      <c r="E858" s="39"/>
      <c r="F858" s="4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spans="1:21" ht="15.6">
      <c r="A859" s="39"/>
      <c r="B859" s="39"/>
      <c r="C859" s="39"/>
      <c r="D859" s="39"/>
      <c r="E859" s="39"/>
      <c r="F859" s="4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spans="1:21" ht="15.6">
      <c r="A860" s="39"/>
      <c r="B860" s="39"/>
      <c r="C860" s="39"/>
      <c r="D860" s="39"/>
      <c r="E860" s="39"/>
      <c r="F860" s="4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spans="1:21" ht="15.6">
      <c r="A861" s="39"/>
      <c r="B861" s="39"/>
      <c r="C861" s="39"/>
      <c r="D861" s="39"/>
      <c r="E861" s="39"/>
      <c r="F861" s="4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spans="1:21" ht="15.6">
      <c r="A862" s="39"/>
      <c r="B862" s="39"/>
      <c r="C862" s="39"/>
      <c r="D862" s="39"/>
      <c r="E862" s="39"/>
      <c r="F862" s="4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spans="1:21" ht="15.6">
      <c r="A863" s="39"/>
      <c r="B863" s="39"/>
      <c r="C863" s="39"/>
      <c r="D863" s="39"/>
      <c r="E863" s="39"/>
      <c r="F863" s="4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spans="1:21" ht="15.6">
      <c r="A864" s="39"/>
      <c r="B864" s="39"/>
      <c r="C864" s="39"/>
      <c r="D864" s="39"/>
      <c r="E864" s="39"/>
      <c r="F864" s="4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spans="1:21" ht="15.6">
      <c r="A865" s="39"/>
      <c r="B865" s="39"/>
      <c r="C865" s="39"/>
      <c r="D865" s="39"/>
      <c r="E865" s="39"/>
      <c r="F865" s="4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spans="1:21" ht="15.6">
      <c r="A866" s="39"/>
      <c r="B866" s="39"/>
      <c r="C866" s="39"/>
      <c r="D866" s="39"/>
      <c r="E866" s="39"/>
      <c r="F866" s="4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spans="1:21" ht="15.6">
      <c r="A867" s="39"/>
      <c r="B867" s="39"/>
      <c r="C867" s="39"/>
      <c r="D867" s="39"/>
      <c r="E867" s="39"/>
      <c r="F867" s="4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spans="1:21" ht="15.6">
      <c r="A868" s="39"/>
      <c r="B868" s="39"/>
      <c r="C868" s="39"/>
      <c r="D868" s="39"/>
      <c r="E868" s="39"/>
      <c r="F868" s="4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spans="1:21" ht="15.6">
      <c r="A869" s="39"/>
      <c r="B869" s="39"/>
      <c r="C869" s="39"/>
      <c r="D869" s="39"/>
      <c r="E869" s="39"/>
      <c r="F869" s="4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spans="1:21" ht="15.6">
      <c r="A870" s="39"/>
      <c r="B870" s="39"/>
      <c r="C870" s="39"/>
      <c r="D870" s="39"/>
      <c r="E870" s="39"/>
      <c r="F870" s="4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spans="1:21" ht="15.6">
      <c r="A871" s="39"/>
      <c r="B871" s="39"/>
      <c r="C871" s="39"/>
      <c r="D871" s="39"/>
      <c r="E871" s="39"/>
      <c r="F871" s="4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spans="1:21" ht="15.6">
      <c r="A872" s="39"/>
      <c r="B872" s="39"/>
      <c r="C872" s="39"/>
      <c r="D872" s="39"/>
      <c r="E872" s="39"/>
      <c r="F872" s="4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spans="1:21" ht="15.6">
      <c r="A873" s="39"/>
      <c r="B873" s="39"/>
      <c r="C873" s="39"/>
      <c r="D873" s="39"/>
      <c r="E873" s="39"/>
      <c r="F873" s="4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spans="1:21" ht="15.6">
      <c r="A874" s="39"/>
      <c r="B874" s="39"/>
      <c r="C874" s="39"/>
      <c r="D874" s="39"/>
      <c r="E874" s="39"/>
      <c r="F874" s="4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spans="1:21" ht="15.6">
      <c r="A875" s="39"/>
      <c r="B875" s="39"/>
      <c r="C875" s="39"/>
      <c r="D875" s="39"/>
      <c r="E875" s="39"/>
      <c r="F875" s="4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spans="1:21" ht="15.6">
      <c r="A876" s="39"/>
      <c r="B876" s="39"/>
      <c r="C876" s="39"/>
      <c r="D876" s="39"/>
      <c r="E876" s="39"/>
      <c r="F876" s="4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spans="1:21" ht="15.6">
      <c r="A877" s="39"/>
      <c r="B877" s="39"/>
      <c r="C877" s="39"/>
      <c r="D877" s="39"/>
      <c r="E877" s="39"/>
      <c r="F877" s="4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spans="1:21" ht="15.6">
      <c r="A878" s="39"/>
      <c r="B878" s="39"/>
      <c r="C878" s="39"/>
      <c r="D878" s="39"/>
      <c r="E878" s="39"/>
      <c r="F878" s="4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spans="1:21" ht="15.6">
      <c r="A879" s="39"/>
      <c r="B879" s="39"/>
      <c r="C879" s="39"/>
      <c r="D879" s="39"/>
      <c r="E879" s="39"/>
      <c r="F879" s="4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spans="1:21" ht="15.6">
      <c r="A880" s="39"/>
      <c r="B880" s="39"/>
      <c r="C880" s="39"/>
      <c r="D880" s="39"/>
      <c r="E880" s="39"/>
      <c r="F880" s="4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spans="1:21" ht="15.6">
      <c r="A881" s="39"/>
      <c r="B881" s="39"/>
      <c r="C881" s="39"/>
      <c r="D881" s="39"/>
      <c r="E881" s="39"/>
      <c r="F881" s="4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spans="1:21" ht="15.6">
      <c r="A882" s="39"/>
      <c r="B882" s="39"/>
      <c r="C882" s="39"/>
      <c r="D882" s="39"/>
      <c r="E882" s="39"/>
      <c r="F882" s="4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spans="1:21" ht="15.6">
      <c r="A883" s="39"/>
      <c r="B883" s="39"/>
      <c r="C883" s="39"/>
      <c r="D883" s="39"/>
      <c r="E883" s="39"/>
      <c r="F883" s="4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spans="1:21" ht="15.6">
      <c r="A884" s="39"/>
      <c r="B884" s="39"/>
      <c r="C884" s="39"/>
      <c r="D884" s="39"/>
      <c r="E884" s="39"/>
      <c r="F884" s="4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spans="1:21" ht="15.6">
      <c r="A885" s="39"/>
      <c r="B885" s="39"/>
      <c r="C885" s="39"/>
      <c r="D885" s="39"/>
      <c r="E885" s="39"/>
      <c r="F885" s="4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spans="1:21" ht="15.6">
      <c r="A886" s="39"/>
      <c r="B886" s="39"/>
      <c r="C886" s="39"/>
      <c r="D886" s="39"/>
      <c r="E886" s="39"/>
      <c r="F886" s="4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spans="1:21" ht="15.6">
      <c r="A887" s="39"/>
      <c r="B887" s="39"/>
      <c r="C887" s="39"/>
      <c r="D887" s="39"/>
      <c r="E887" s="39"/>
      <c r="F887" s="4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spans="1:21" ht="15.6">
      <c r="A888" s="39"/>
      <c r="B888" s="39"/>
      <c r="C888" s="39"/>
      <c r="D888" s="39"/>
      <c r="E888" s="39"/>
      <c r="F888" s="4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spans="1:21" ht="15.6">
      <c r="A889" s="39"/>
      <c r="B889" s="39"/>
      <c r="C889" s="39"/>
      <c r="D889" s="39"/>
      <c r="E889" s="39"/>
      <c r="F889" s="4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spans="1:21" ht="15.6">
      <c r="A890" s="39"/>
      <c r="B890" s="39"/>
      <c r="C890" s="39"/>
      <c r="D890" s="39"/>
      <c r="E890" s="39"/>
      <c r="F890" s="4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spans="1:21" ht="15.6">
      <c r="A891" s="39"/>
      <c r="B891" s="39"/>
      <c r="C891" s="39"/>
      <c r="D891" s="39"/>
      <c r="E891" s="39"/>
      <c r="F891" s="4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spans="1:21" ht="15.6">
      <c r="A892" s="39"/>
      <c r="B892" s="39"/>
      <c r="C892" s="39"/>
      <c r="D892" s="39"/>
      <c r="E892" s="39"/>
      <c r="F892" s="4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spans="1:21" ht="15.6">
      <c r="A893" s="39"/>
      <c r="B893" s="39"/>
      <c r="C893" s="39"/>
      <c r="D893" s="39"/>
      <c r="E893" s="39"/>
      <c r="F893" s="4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spans="1:21" ht="15.6">
      <c r="A894" s="39"/>
      <c r="B894" s="39"/>
      <c r="C894" s="39"/>
      <c r="D894" s="39"/>
      <c r="E894" s="39"/>
      <c r="F894" s="4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spans="1:21" ht="15.6">
      <c r="A895" s="39"/>
      <c r="B895" s="39"/>
      <c r="C895" s="39"/>
      <c r="D895" s="39"/>
      <c r="E895" s="39"/>
      <c r="F895" s="4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spans="1:21" ht="15.6">
      <c r="A896" s="39"/>
      <c r="B896" s="39"/>
      <c r="C896" s="39"/>
      <c r="D896" s="39"/>
      <c r="E896" s="39"/>
      <c r="F896" s="4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spans="1:21" ht="15.6">
      <c r="A897" s="39"/>
      <c r="B897" s="39"/>
      <c r="C897" s="39"/>
      <c r="D897" s="39"/>
      <c r="E897" s="39"/>
      <c r="F897" s="4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spans="1:21" ht="15.6">
      <c r="A898" s="39"/>
      <c r="B898" s="39"/>
      <c r="C898" s="39"/>
      <c r="D898" s="39"/>
      <c r="E898" s="39"/>
      <c r="F898" s="4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spans="1:21" ht="15.6">
      <c r="A899" s="39"/>
      <c r="B899" s="39"/>
      <c r="C899" s="39"/>
      <c r="D899" s="39"/>
      <c r="E899" s="39"/>
      <c r="F899" s="4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spans="1:21" ht="15.6">
      <c r="A900" s="39"/>
      <c r="B900" s="39"/>
      <c r="C900" s="39"/>
      <c r="D900" s="39"/>
      <c r="E900" s="39"/>
      <c r="F900" s="4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spans="1:21" ht="15.6">
      <c r="A901" s="39"/>
      <c r="B901" s="39"/>
      <c r="C901" s="39"/>
      <c r="D901" s="39"/>
      <c r="E901" s="39"/>
      <c r="F901" s="4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spans="1:21" ht="15.6">
      <c r="A902" s="39"/>
      <c r="B902" s="39"/>
      <c r="C902" s="39"/>
      <c r="D902" s="39"/>
      <c r="E902" s="39"/>
      <c r="F902" s="4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spans="1:21" ht="15.6">
      <c r="A903" s="39"/>
      <c r="B903" s="39"/>
      <c r="C903" s="39"/>
      <c r="D903" s="39"/>
      <c r="E903" s="39"/>
      <c r="F903" s="4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spans="1:21" ht="15.6">
      <c r="A904" s="39"/>
      <c r="B904" s="39"/>
      <c r="C904" s="39"/>
      <c r="D904" s="39"/>
      <c r="E904" s="39"/>
      <c r="F904" s="4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spans="1:21" ht="15.6">
      <c r="A905" s="39"/>
      <c r="B905" s="39"/>
      <c r="C905" s="39"/>
      <c r="D905" s="39"/>
      <c r="E905" s="39"/>
      <c r="F905" s="4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spans="1:21" ht="15.6">
      <c r="A906" s="39"/>
      <c r="B906" s="39"/>
      <c r="C906" s="39"/>
      <c r="D906" s="39"/>
      <c r="E906" s="39"/>
      <c r="F906" s="4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spans="1:21" ht="15.6">
      <c r="A907" s="39"/>
      <c r="B907" s="39"/>
      <c r="C907" s="39"/>
      <c r="D907" s="39"/>
      <c r="E907" s="39"/>
      <c r="F907" s="4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spans="1:21" ht="15.6">
      <c r="A908" s="39"/>
      <c r="B908" s="39"/>
      <c r="C908" s="39"/>
      <c r="D908" s="39"/>
      <c r="E908" s="39"/>
      <c r="F908" s="4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spans="1:21" ht="15.6">
      <c r="A909" s="39"/>
      <c r="B909" s="39"/>
      <c r="C909" s="39"/>
      <c r="D909" s="39"/>
      <c r="E909" s="39"/>
      <c r="F909" s="4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spans="1:21" ht="15.6">
      <c r="A910" s="39"/>
      <c r="B910" s="39"/>
      <c r="C910" s="39"/>
      <c r="D910" s="39"/>
      <c r="E910" s="39"/>
      <c r="F910" s="4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spans="1:21" ht="15.6">
      <c r="A911" s="39"/>
      <c r="B911" s="39"/>
      <c r="C911" s="39"/>
      <c r="D911" s="39"/>
      <c r="E911" s="39"/>
      <c r="F911" s="4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spans="1:21" ht="15.6">
      <c r="A912" s="39"/>
      <c r="B912" s="39"/>
      <c r="C912" s="39"/>
      <c r="D912" s="39"/>
      <c r="E912" s="39"/>
      <c r="F912" s="4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spans="1:21" ht="15.6">
      <c r="A913" s="39"/>
      <c r="B913" s="39"/>
      <c r="C913" s="39"/>
      <c r="D913" s="39"/>
      <c r="E913" s="39"/>
      <c r="F913" s="4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spans="1:21" ht="15.6">
      <c r="A914" s="39"/>
      <c r="B914" s="39"/>
      <c r="C914" s="39"/>
      <c r="D914" s="39"/>
      <c r="E914" s="39"/>
      <c r="F914" s="4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spans="1:21" ht="15.6">
      <c r="A915" s="39"/>
      <c r="B915" s="39"/>
      <c r="C915" s="39"/>
      <c r="D915" s="39"/>
      <c r="E915" s="39"/>
      <c r="F915" s="4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spans="1:21" ht="15.6">
      <c r="A916" s="39"/>
      <c r="B916" s="39"/>
      <c r="C916" s="39"/>
      <c r="D916" s="39"/>
      <c r="E916" s="39"/>
      <c r="F916" s="4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spans="1:21" ht="15.6">
      <c r="A917" s="39"/>
      <c r="B917" s="39"/>
      <c r="C917" s="39"/>
      <c r="D917" s="39"/>
      <c r="E917" s="39"/>
      <c r="F917" s="4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spans="1:21" ht="15.6">
      <c r="A918" s="39"/>
      <c r="B918" s="39"/>
      <c r="C918" s="39"/>
      <c r="D918" s="39"/>
      <c r="E918" s="39"/>
      <c r="F918" s="4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spans="1:21" ht="15.6">
      <c r="A919" s="39"/>
      <c r="B919" s="39"/>
      <c r="C919" s="39"/>
      <c r="D919" s="39"/>
      <c r="E919" s="39"/>
      <c r="F919" s="4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spans="1:21" ht="15.6">
      <c r="A920" s="39"/>
      <c r="B920" s="39"/>
      <c r="C920" s="39"/>
      <c r="D920" s="39"/>
      <c r="E920" s="39"/>
      <c r="F920" s="4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spans="1:21" ht="15.6">
      <c r="A921" s="39"/>
      <c r="B921" s="39"/>
      <c r="C921" s="39"/>
      <c r="D921" s="39"/>
      <c r="E921" s="39"/>
      <c r="F921" s="4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spans="1:21" ht="15.6">
      <c r="A922" s="39"/>
      <c r="B922" s="39"/>
      <c r="C922" s="39"/>
      <c r="D922" s="39"/>
      <c r="E922" s="39"/>
      <c r="F922" s="4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spans="1:21" ht="15.6">
      <c r="A923" s="39"/>
      <c r="B923" s="39"/>
      <c r="C923" s="39"/>
      <c r="D923" s="39"/>
      <c r="E923" s="39"/>
      <c r="F923" s="4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spans="1:21" ht="15.6">
      <c r="A924" s="39"/>
      <c r="B924" s="39"/>
      <c r="C924" s="39"/>
      <c r="D924" s="39"/>
      <c r="E924" s="39"/>
      <c r="F924" s="4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spans="1:21" ht="15.6">
      <c r="A925" s="39"/>
      <c r="B925" s="39"/>
      <c r="C925" s="39"/>
      <c r="D925" s="39"/>
      <c r="E925" s="39"/>
      <c r="F925" s="4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spans="1:21" ht="15.6">
      <c r="A926" s="39"/>
      <c r="B926" s="39"/>
      <c r="C926" s="39"/>
      <c r="D926" s="39"/>
      <c r="E926" s="39"/>
      <c r="F926" s="4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spans="1:21" ht="15.6">
      <c r="A927" s="39"/>
      <c r="B927" s="39"/>
      <c r="C927" s="39"/>
      <c r="D927" s="39"/>
      <c r="E927" s="39"/>
      <c r="F927" s="4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spans="1:21" ht="15.6">
      <c r="A928" s="39"/>
      <c r="B928" s="39"/>
      <c r="C928" s="39"/>
      <c r="D928" s="39"/>
      <c r="E928" s="39"/>
      <c r="F928" s="4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spans="1:21" ht="15.6">
      <c r="A929" s="39"/>
      <c r="B929" s="39"/>
      <c r="C929" s="39"/>
      <c r="D929" s="39"/>
      <c r="E929" s="39"/>
      <c r="F929" s="4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spans="1:21" ht="15.6">
      <c r="A930" s="39"/>
      <c r="B930" s="39"/>
      <c r="C930" s="39"/>
      <c r="D930" s="39"/>
      <c r="E930" s="39"/>
      <c r="F930" s="4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spans="1:21" ht="15.6">
      <c r="A931" s="39"/>
      <c r="B931" s="39"/>
      <c r="C931" s="39"/>
      <c r="D931" s="39"/>
      <c r="E931" s="39"/>
      <c r="F931" s="4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spans="1:21" ht="15.6">
      <c r="A932" s="39"/>
      <c r="B932" s="39"/>
      <c r="C932" s="39"/>
      <c r="D932" s="39"/>
      <c r="E932" s="39"/>
      <c r="F932" s="4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spans="1:21" ht="15.6">
      <c r="A933" s="39"/>
      <c r="B933" s="39"/>
      <c r="C933" s="39"/>
      <c r="D933" s="39"/>
      <c r="E933" s="39"/>
      <c r="F933" s="4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spans="1:21" ht="15.6">
      <c r="A934" s="39"/>
      <c r="B934" s="39"/>
      <c r="C934" s="39"/>
      <c r="D934" s="39"/>
      <c r="E934" s="39"/>
      <c r="F934" s="4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spans="1:21" ht="15.6">
      <c r="A935" s="39"/>
      <c r="B935" s="39"/>
      <c r="C935" s="39"/>
      <c r="D935" s="39"/>
      <c r="E935" s="39"/>
      <c r="F935" s="4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spans="1:21" ht="15.6">
      <c r="A936" s="39"/>
      <c r="B936" s="39"/>
      <c r="C936" s="39"/>
      <c r="D936" s="39"/>
      <c r="E936" s="39"/>
      <c r="F936" s="4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spans="1:21" ht="15.6">
      <c r="A937" s="39"/>
      <c r="B937" s="39"/>
      <c r="C937" s="39"/>
      <c r="D937" s="39"/>
      <c r="E937" s="39"/>
      <c r="F937" s="4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spans="1:21" ht="15.6">
      <c r="A938" s="39"/>
      <c r="B938" s="39"/>
      <c r="C938" s="39"/>
      <c r="D938" s="39"/>
      <c r="E938" s="39"/>
      <c r="F938" s="4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spans="1:21" ht="15.6">
      <c r="A939" s="39"/>
      <c r="B939" s="39"/>
      <c r="C939" s="39"/>
      <c r="D939" s="39"/>
      <c r="E939" s="39"/>
      <c r="F939" s="4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spans="1:21" ht="15.6">
      <c r="A940" s="39"/>
      <c r="B940" s="39"/>
      <c r="C940" s="39"/>
      <c r="D940" s="39"/>
      <c r="E940" s="39"/>
      <c r="F940" s="4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spans="1:21" ht="15.6">
      <c r="A941" s="39"/>
      <c r="B941" s="39"/>
      <c r="C941" s="39"/>
      <c r="D941" s="39"/>
      <c r="E941" s="39"/>
      <c r="F941" s="4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spans="1:21" ht="15.6">
      <c r="A942" s="39"/>
      <c r="B942" s="39"/>
      <c r="C942" s="39"/>
      <c r="D942" s="39"/>
      <c r="E942" s="39"/>
      <c r="F942" s="4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spans="1:21" ht="15.6">
      <c r="A943" s="39"/>
      <c r="B943" s="39"/>
      <c r="C943" s="39"/>
      <c r="D943" s="39"/>
      <c r="E943" s="39"/>
      <c r="F943" s="4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spans="1:21" ht="15.6">
      <c r="A944" s="39"/>
      <c r="B944" s="39"/>
      <c r="C944" s="39"/>
      <c r="D944" s="39"/>
      <c r="E944" s="39"/>
      <c r="F944" s="4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spans="1:21" ht="15.6">
      <c r="A945" s="39"/>
      <c r="B945" s="39"/>
      <c r="C945" s="39"/>
      <c r="D945" s="39"/>
      <c r="E945" s="39"/>
      <c r="F945" s="4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spans="1:21" ht="15.6">
      <c r="A946" s="39"/>
      <c r="B946" s="39"/>
      <c r="C946" s="39"/>
      <c r="D946" s="39"/>
      <c r="E946" s="39"/>
      <c r="F946" s="4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spans="1:21" ht="15.6">
      <c r="A947" s="39"/>
      <c r="B947" s="39"/>
      <c r="C947" s="39"/>
      <c r="D947" s="39"/>
      <c r="E947" s="39"/>
      <c r="F947" s="4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spans="1:21" ht="15.6">
      <c r="A948" s="39"/>
      <c r="B948" s="39"/>
      <c r="C948" s="39"/>
      <c r="D948" s="39"/>
      <c r="E948" s="39"/>
      <c r="F948" s="4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spans="1:21" ht="15.6">
      <c r="A949" s="39"/>
      <c r="B949" s="39"/>
      <c r="C949" s="39"/>
      <c r="D949" s="39"/>
      <c r="E949" s="39"/>
      <c r="F949" s="4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spans="1:21" ht="15.6">
      <c r="A950" s="39"/>
      <c r="B950" s="39"/>
      <c r="C950" s="39"/>
      <c r="D950" s="39"/>
      <c r="E950" s="39"/>
      <c r="F950" s="4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spans="1:21" ht="15.6">
      <c r="A951" s="39"/>
      <c r="B951" s="39"/>
      <c r="C951" s="39"/>
      <c r="D951" s="39"/>
      <c r="E951" s="39"/>
      <c r="F951" s="4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spans="1:21" ht="15.6">
      <c r="A952" s="39"/>
      <c r="B952" s="39"/>
      <c r="C952" s="39"/>
      <c r="D952" s="39"/>
      <c r="E952" s="39"/>
      <c r="F952" s="4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spans="1:21" ht="15.6">
      <c r="A953" s="39"/>
      <c r="B953" s="39"/>
      <c r="C953" s="39"/>
      <c r="D953" s="39"/>
      <c r="E953" s="39"/>
      <c r="F953" s="4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spans="1:21" ht="15.6">
      <c r="A954" s="39"/>
      <c r="B954" s="39"/>
      <c r="C954" s="39"/>
      <c r="D954" s="39"/>
      <c r="E954" s="39"/>
      <c r="F954" s="4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spans="1:21" ht="15.6">
      <c r="A955" s="39"/>
      <c r="B955" s="39"/>
      <c r="C955" s="39"/>
      <c r="D955" s="39"/>
      <c r="E955" s="39"/>
      <c r="F955" s="4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spans="1:21" ht="15.6">
      <c r="A956" s="39"/>
      <c r="B956" s="39"/>
      <c r="C956" s="39"/>
      <c r="D956" s="39"/>
      <c r="E956" s="39"/>
      <c r="F956" s="4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spans="1:21" ht="15.6">
      <c r="A957" s="39"/>
      <c r="B957" s="39"/>
      <c r="C957" s="39"/>
      <c r="D957" s="39"/>
      <c r="E957" s="39"/>
      <c r="F957" s="4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spans="1:21" ht="15.6">
      <c r="A958" s="39"/>
      <c r="B958" s="39"/>
      <c r="C958" s="39"/>
      <c r="D958" s="39"/>
      <c r="E958" s="39"/>
      <c r="F958" s="4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spans="1:21" ht="15.6">
      <c r="A959" s="39"/>
      <c r="B959" s="39"/>
      <c r="C959" s="39"/>
      <c r="D959" s="39"/>
      <c r="E959" s="39"/>
      <c r="F959" s="4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spans="1:21" ht="15.6">
      <c r="A960" s="39"/>
      <c r="B960" s="39"/>
      <c r="C960" s="39"/>
      <c r="D960" s="39"/>
      <c r="E960" s="39"/>
      <c r="F960" s="4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spans="1:21" ht="15.6">
      <c r="A961" s="39"/>
      <c r="B961" s="39"/>
      <c r="C961" s="39"/>
      <c r="D961" s="39"/>
      <c r="E961" s="39"/>
      <c r="F961" s="4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spans="1:21" ht="15.6">
      <c r="A962" s="39"/>
      <c r="B962" s="39"/>
      <c r="C962" s="39"/>
      <c r="D962" s="39"/>
      <c r="E962" s="39"/>
      <c r="F962" s="4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spans="1:21" ht="15.6">
      <c r="A963" s="39"/>
      <c r="B963" s="39"/>
      <c r="C963" s="39"/>
      <c r="D963" s="39"/>
      <c r="E963" s="39"/>
      <c r="F963" s="4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spans="1:21" ht="15.6">
      <c r="A964" s="39"/>
      <c r="B964" s="39"/>
      <c r="C964" s="39"/>
      <c r="D964" s="39"/>
      <c r="E964" s="39"/>
      <c r="F964" s="4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spans="1:21" ht="15.6">
      <c r="A965" s="39"/>
      <c r="B965" s="39"/>
      <c r="C965" s="39"/>
      <c r="D965" s="39"/>
      <c r="E965" s="39"/>
      <c r="F965" s="4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spans="1:21" ht="15.6">
      <c r="A966" s="39"/>
      <c r="B966" s="39"/>
      <c r="C966" s="39"/>
      <c r="D966" s="39"/>
      <c r="E966" s="39"/>
      <c r="F966" s="4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spans="1:21" ht="15.6">
      <c r="A967" s="39"/>
      <c r="B967" s="39"/>
      <c r="C967" s="39"/>
      <c r="D967" s="39"/>
      <c r="E967" s="39"/>
      <c r="F967" s="4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spans="1:21" ht="15.6">
      <c r="A968" s="39"/>
      <c r="B968" s="39"/>
      <c r="C968" s="39"/>
      <c r="D968" s="39"/>
      <c r="E968" s="39"/>
      <c r="F968" s="4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spans="1:21" ht="15.6">
      <c r="A969" s="39"/>
      <c r="B969" s="39"/>
      <c r="C969" s="39"/>
      <c r="D969" s="39"/>
      <c r="E969" s="39"/>
      <c r="F969" s="4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spans="1:21" ht="15.6">
      <c r="A970" s="39"/>
      <c r="B970" s="39"/>
      <c r="C970" s="39"/>
      <c r="D970" s="39"/>
      <c r="E970" s="39"/>
      <c r="F970" s="4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spans="1:21" ht="15.6">
      <c r="A971" s="39"/>
      <c r="B971" s="39"/>
      <c r="C971" s="39"/>
      <c r="D971" s="39"/>
      <c r="E971" s="39"/>
      <c r="F971" s="4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spans="1:21" ht="15.6">
      <c r="A972" s="39"/>
      <c r="B972" s="39"/>
      <c r="C972" s="39"/>
      <c r="D972" s="39"/>
      <c r="E972" s="39"/>
      <c r="F972" s="4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  <row r="973" spans="1:21" ht="15.6">
      <c r="A973" s="39"/>
      <c r="B973" s="39"/>
      <c r="C973" s="39"/>
      <c r="D973" s="39"/>
      <c r="E973" s="39"/>
      <c r="F973" s="4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</row>
    <row r="974" spans="1:21" ht="15.6">
      <c r="A974" s="39"/>
      <c r="B974" s="39"/>
      <c r="C974" s="39"/>
      <c r="D974" s="39"/>
      <c r="E974" s="39"/>
      <c r="F974" s="4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</row>
    <row r="975" spans="1:21" ht="15.6">
      <c r="A975" s="39"/>
      <c r="B975" s="39"/>
      <c r="C975" s="39"/>
      <c r="D975" s="39"/>
      <c r="E975" s="39"/>
      <c r="F975" s="4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</row>
    <row r="976" spans="1:21" ht="15.6">
      <c r="A976" s="39"/>
      <c r="B976" s="39"/>
      <c r="C976" s="39"/>
      <c r="D976" s="39"/>
      <c r="E976" s="39"/>
      <c r="F976" s="4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</row>
    <row r="977" spans="1:21" ht="15.6">
      <c r="A977" s="39"/>
      <c r="B977" s="39"/>
      <c r="C977" s="39"/>
      <c r="D977" s="39"/>
      <c r="E977" s="39"/>
      <c r="F977" s="4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</row>
    <row r="978" spans="1:21" ht="15.6">
      <c r="A978" s="39"/>
      <c r="B978" s="39"/>
      <c r="C978" s="39"/>
      <c r="D978" s="39"/>
      <c r="E978" s="39"/>
      <c r="F978" s="4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</row>
    <row r="979" spans="1:21" ht="15.6">
      <c r="A979" s="39"/>
      <c r="B979" s="39"/>
      <c r="C979" s="39"/>
      <c r="D979" s="39"/>
      <c r="E979" s="39"/>
      <c r="F979" s="4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</row>
    <row r="980" spans="1:21" ht="15.6">
      <c r="A980" s="39"/>
      <c r="B980" s="39"/>
      <c r="C980" s="39"/>
      <c r="D980" s="39"/>
      <c r="E980" s="39"/>
      <c r="F980" s="4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</row>
    <row r="981" spans="1:21" ht="15.6">
      <c r="A981" s="39"/>
      <c r="B981" s="39"/>
      <c r="C981" s="39"/>
      <c r="D981" s="39"/>
      <c r="E981" s="39"/>
      <c r="F981" s="4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</row>
    <row r="982" spans="1:21" ht="15.6">
      <c r="A982" s="39"/>
      <c r="B982" s="39"/>
      <c r="C982" s="39"/>
      <c r="D982" s="39"/>
      <c r="E982" s="39"/>
      <c r="F982" s="4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</row>
    <row r="983" spans="1:21" ht="15.6">
      <c r="A983" s="39"/>
      <c r="B983" s="39"/>
      <c r="C983" s="39"/>
      <c r="D983" s="39"/>
      <c r="E983" s="39"/>
      <c r="F983" s="4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</row>
    <row r="984" spans="1:21" ht="15.6">
      <c r="A984" s="39"/>
      <c r="B984" s="39"/>
      <c r="C984" s="39"/>
      <c r="D984" s="39"/>
      <c r="E984" s="39"/>
      <c r="F984" s="4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</row>
    <row r="985" spans="1:21" ht="15.6">
      <c r="A985" s="39"/>
      <c r="B985" s="39"/>
      <c r="C985" s="39"/>
      <c r="D985" s="39"/>
      <c r="E985" s="39"/>
      <c r="F985" s="4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</row>
    <row r="986" spans="1:21" ht="15.6">
      <c r="A986" s="39"/>
      <c r="B986" s="39"/>
      <c r="C986" s="39"/>
      <c r="D986" s="39"/>
      <c r="E986" s="39"/>
      <c r="F986" s="4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</row>
    <row r="987" spans="1:21" ht="15.6">
      <c r="A987" s="39"/>
      <c r="B987" s="39"/>
      <c r="C987" s="39"/>
      <c r="D987" s="39"/>
      <c r="E987" s="39"/>
      <c r="F987" s="4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</row>
    <row r="988" spans="1:21" ht="15.6">
      <c r="A988" s="39"/>
      <c r="B988" s="39"/>
      <c r="C988" s="39"/>
      <c r="D988" s="39"/>
      <c r="E988" s="39"/>
      <c r="F988" s="4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</row>
    <row r="989" spans="1:21" ht="15.6">
      <c r="A989" s="39"/>
      <c r="B989" s="39"/>
      <c r="C989" s="39"/>
      <c r="D989" s="39"/>
      <c r="E989" s="39"/>
      <c r="F989" s="4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</row>
    <row r="990" spans="1:21" ht="15.6">
      <c r="A990" s="39"/>
      <c r="B990" s="39"/>
      <c r="C990" s="39"/>
      <c r="D990" s="39"/>
      <c r="E990" s="39"/>
      <c r="F990" s="4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</row>
    <row r="991" spans="1:21" ht="15.6">
      <c r="A991" s="39"/>
      <c r="B991" s="39"/>
      <c r="C991" s="39"/>
      <c r="D991" s="39"/>
      <c r="E991" s="39"/>
      <c r="F991" s="4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</row>
    <row r="992" spans="1:21" ht="15.6">
      <c r="A992" s="39"/>
      <c r="B992" s="39"/>
      <c r="C992" s="39"/>
      <c r="D992" s="39"/>
      <c r="E992" s="39"/>
      <c r="F992" s="4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</row>
    <row r="993" spans="1:21" ht="15.6">
      <c r="A993" s="39"/>
      <c r="B993" s="39"/>
      <c r="C993" s="39"/>
      <c r="D993" s="39"/>
      <c r="E993" s="39"/>
      <c r="F993" s="4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</row>
    <row r="994" spans="1:21" ht="15.6">
      <c r="A994" s="39"/>
      <c r="B994" s="39"/>
      <c r="C994" s="39"/>
      <c r="D994" s="39"/>
      <c r="E994" s="39"/>
      <c r="F994" s="4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</row>
    <row r="995" spans="1:21" ht="15.6">
      <c r="A995" s="39"/>
      <c r="B995" s="39"/>
      <c r="C995" s="39"/>
      <c r="D995" s="39"/>
      <c r="E995" s="39"/>
      <c r="F995" s="4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</row>
    <row r="996" spans="1:21" ht="15.6">
      <c r="A996" s="39"/>
      <c r="B996" s="39"/>
      <c r="C996" s="39"/>
      <c r="D996" s="39"/>
      <c r="E996" s="39"/>
      <c r="F996" s="4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</row>
    <row r="997" spans="1:21" ht="15.6">
      <c r="A997" s="39"/>
      <c r="B997" s="39"/>
      <c r="C997" s="39"/>
      <c r="D997" s="39"/>
      <c r="E997" s="39"/>
      <c r="F997" s="4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</row>
    <row r="998" spans="1:21" ht="15.6">
      <c r="A998" s="39"/>
      <c r="B998" s="39"/>
      <c r="C998" s="39"/>
      <c r="D998" s="39"/>
      <c r="E998" s="39"/>
      <c r="F998" s="4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</row>
    <row r="999" spans="1:21" ht="15.6">
      <c r="A999" s="39"/>
      <c r="B999" s="39"/>
      <c r="C999" s="39"/>
      <c r="D999" s="39"/>
      <c r="E999" s="39"/>
      <c r="F999" s="4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</row>
    <row r="1000" spans="1:21" ht="15.6">
      <c r="A1000" s="39"/>
      <c r="B1000" s="39"/>
      <c r="C1000" s="39"/>
      <c r="D1000" s="39"/>
      <c r="E1000" s="39"/>
      <c r="F1000" s="4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</row>
    <row r="1001" spans="1:21" ht="15.6">
      <c r="A1001" s="39"/>
      <c r="B1001" s="39"/>
      <c r="C1001" s="39"/>
      <c r="D1001" s="39"/>
      <c r="E1001" s="39"/>
      <c r="F1001" s="4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</row>
    <row r="1002" spans="1:21" ht="15.6">
      <c r="A1002" s="39"/>
      <c r="B1002" s="39"/>
      <c r="C1002" s="39"/>
      <c r="D1002" s="39"/>
      <c r="E1002" s="39"/>
      <c r="F1002" s="4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</row>
    <row r="1003" spans="1:21" ht="15.6">
      <c r="A1003" s="39"/>
      <c r="B1003" s="39"/>
      <c r="C1003" s="39"/>
      <c r="D1003" s="39"/>
      <c r="E1003" s="39"/>
      <c r="F1003" s="4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</row>
    <row r="1004" spans="1:21" ht="15.6">
      <c r="A1004" s="39"/>
      <c r="B1004" s="39"/>
      <c r="C1004" s="39"/>
      <c r="D1004" s="39"/>
      <c r="E1004" s="39"/>
      <c r="F1004" s="4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</row>
    <row r="1005" spans="1:21" ht="15.6">
      <c r="A1005" s="39"/>
      <c r="B1005" s="39"/>
      <c r="C1005" s="39"/>
      <c r="D1005" s="39"/>
      <c r="E1005" s="39"/>
      <c r="F1005" s="4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</row>
    <row r="1006" spans="1:21" ht="15.6">
      <c r="A1006" s="39"/>
      <c r="B1006" s="39"/>
      <c r="C1006" s="39"/>
      <c r="D1006" s="39"/>
      <c r="E1006" s="39"/>
      <c r="F1006" s="4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</row>
    <row r="1007" spans="1:21" ht="15.6">
      <c r="A1007" s="39"/>
      <c r="B1007" s="39"/>
      <c r="C1007" s="39"/>
      <c r="D1007" s="39"/>
      <c r="E1007" s="39"/>
      <c r="F1007" s="4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</row>
    <row r="1008" spans="1:21" ht="15.6">
      <c r="A1008" s="39"/>
      <c r="B1008" s="39"/>
      <c r="C1008" s="39"/>
      <c r="D1008" s="39"/>
      <c r="E1008" s="39"/>
      <c r="F1008" s="4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</row>
    <row r="1009" spans="1:21" ht="15.6">
      <c r="A1009" s="39"/>
      <c r="B1009" s="39"/>
      <c r="C1009" s="39"/>
      <c r="D1009" s="39"/>
      <c r="E1009" s="39"/>
      <c r="F1009" s="4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</row>
    <row r="1010" spans="1:21" ht="15.6">
      <c r="A1010" s="39"/>
      <c r="B1010" s="39"/>
      <c r="C1010" s="39"/>
      <c r="D1010" s="39"/>
      <c r="E1010" s="39"/>
      <c r="F1010" s="4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</row>
    <row r="1011" spans="1:21" ht="15.6">
      <c r="A1011" s="39"/>
      <c r="B1011" s="39"/>
      <c r="C1011" s="39"/>
      <c r="D1011" s="39"/>
      <c r="E1011" s="39"/>
      <c r="F1011" s="4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</row>
    <row r="1012" spans="1:21" ht="15.6">
      <c r="A1012" s="39"/>
      <c r="B1012" s="39"/>
      <c r="C1012" s="39"/>
      <c r="D1012" s="39"/>
      <c r="E1012" s="39"/>
      <c r="F1012" s="4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</row>
    <row r="1013" spans="1:21" ht="15.6">
      <c r="A1013" s="39"/>
      <c r="B1013" s="39"/>
      <c r="C1013" s="39"/>
      <c r="D1013" s="39"/>
      <c r="E1013" s="39"/>
      <c r="F1013" s="4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</row>
    <row r="1014" spans="1:21" ht="15.6">
      <c r="A1014" s="39"/>
      <c r="B1014" s="39"/>
      <c r="C1014" s="39"/>
      <c r="D1014" s="39"/>
      <c r="E1014" s="39"/>
      <c r="F1014" s="4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</row>
    <row r="1015" spans="1:21" ht="15.6">
      <c r="A1015" s="39"/>
      <c r="B1015" s="39"/>
      <c r="C1015" s="39"/>
      <c r="D1015" s="39"/>
      <c r="E1015" s="39"/>
      <c r="F1015" s="4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</row>
    <row r="1016" spans="1:21" ht="15.6">
      <c r="A1016" s="39"/>
      <c r="B1016" s="39"/>
      <c r="C1016" s="39"/>
      <c r="D1016" s="39"/>
      <c r="E1016" s="39"/>
      <c r="F1016" s="4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</row>
    <row r="1017" spans="1:21" ht="15.6">
      <c r="A1017" s="39"/>
      <c r="B1017" s="39"/>
      <c r="C1017" s="39"/>
      <c r="D1017" s="39"/>
      <c r="E1017" s="39"/>
      <c r="F1017" s="4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</row>
    <row r="1018" spans="1:21" ht="15.6">
      <c r="A1018" s="39"/>
      <c r="B1018" s="39"/>
      <c r="C1018" s="39"/>
      <c r="D1018" s="39"/>
      <c r="E1018" s="39"/>
      <c r="F1018" s="4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</row>
    <row r="1019" spans="1:21" ht="15.6">
      <c r="A1019" s="39"/>
      <c r="B1019" s="39"/>
      <c r="C1019" s="39"/>
      <c r="D1019" s="39"/>
      <c r="E1019" s="39"/>
      <c r="F1019" s="4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</row>
    <row r="1020" spans="1:21" ht="15.6">
      <c r="A1020" s="39"/>
      <c r="B1020" s="39"/>
      <c r="C1020" s="39"/>
      <c r="D1020" s="39"/>
      <c r="E1020" s="39"/>
      <c r="F1020" s="4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</row>
    <row r="1021" spans="1:21" ht="15.6">
      <c r="A1021" s="39"/>
      <c r="B1021" s="39"/>
      <c r="C1021" s="39"/>
      <c r="D1021" s="39"/>
      <c r="E1021" s="39"/>
      <c r="F1021" s="4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</row>
    <row r="1022" spans="1:21" ht="15.6">
      <c r="A1022" s="39"/>
      <c r="B1022" s="39"/>
      <c r="C1022" s="39"/>
      <c r="D1022" s="39"/>
      <c r="E1022" s="39"/>
      <c r="F1022" s="4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</row>
    <row r="1023" spans="1:21" ht="15.6">
      <c r="A1023" s="39"/>
      <c r="B1023" s="39"/>
      <c r="C1023" s="39"/>
      <c r="D1023" s="39"/>
      <c r="E1023" s="39"/>
      <c r="F1023" s="4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</row>
    <row r="1024" spans="1:21" ht="15.6">
      <c r="A1024" s="39"/>
      <c r="B1024" s="39"/>
      <c r="C1024" s="39"/>
      <c r="D1024" s="39"/>
      <c r="E1024" s="39"/>
      <c r="F1024" s="4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</row>
    <row r="1025" spans="1:21" ht="15.6">
      <c r="A1025" s="39"/>
      <c r="B1025" s="39"/>
      <c r="C1025" s="39"/>
      <c r="D1025" s="39"/>
      <c r="E1025" s="39"/>
      <c r="F1025" s="4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</row>
    <row r="1026" spans="1:21" ht="15.6">
      <c r="A1026" s="39"/>
      <c r="B1026" s="39"/>
      <c r="C1026" s="39"/>
      <c r="D1026" s="39"/>
      <c r="E1026" s="39"/>
      <c r="F1026" s="4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</row>
    <row r="1027" spans="1:21" ht="15.6">
      <c r="A1027" s="39"/>
      <c r="B1027" s="39"/>
      <c r="C1027" s="39"/>
      <c r="D1027" s="39"/>
      <c r="E1027" s="39"/>
      <c r="F1027" s="4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</row>
    <row r="1028" spans="1:21" ht="15.6">
      <c r="A1028" s="39"/>
      <c r="B1028" s="39"/>
      <c r="C1028" s="39"/>
      <c r="D1028" s="39"/>
      <c r="E1028" s="39"/>
      <c r="F1028" s="4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</row>
    <row r="1029" spans="1:21" ht="15.6">
      <c r="A1029" s="39"/>
      <c r="B1029" s="39"/>
      <c r="C1029" s="39"/>
      <c r="D1029" s="39"/>
      <c r="E1029" s="39"/>
      <c r="F1029" s="4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</row>
    <row r="1030" spans="1:21" ht="15.6">
      <c r="A1030" s="39"/>
      <c r="B1030" s="39"/>
      <c r="C1030" s="39"/>
      <c r="D1030" s="39"/>
      <c r="E1030" s="39"/>
      <c r="F1030" s="4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</row>
    <row r="1031" spans="1:21" ht="15.6">
      <c r="A1031" s="39"/>
      <c r="B1031" s="39"/>
      <c r="C1031" s="39"/>
      <c r="D1031" s="39"/>
      <c r="E1031" s="39"/>
      <c r="F1031" s="4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</row>
    <row r="1032" spans="1:21" ht="15.6">
      <c r="A1032" s="39"/>
      <c r="B1032" s="39"/>
      <c r="C1032" s="39"/>
      <c r="D1032" s="39"/>
      <c r="E1032" s="39"/>
      <c r="F1032" s="4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</row>
    <row r="1033" spans="1:21" ht="15.6">
      <c r="A1033" s="39"/>
      <c r="B1033" s="39"/>
      <c r="C1033" s="39"/>
      <c r="D1033" s="39"/>
      <c r="E1033" s="39"/>
      <c r="F1033" s="4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</row>
    <row r="1034" spans="1:21" ht="15.6">
      <c r="A1034" s="39"/>
      <c r="B1034" s="39"/>
      <c r="C1034" s="39"/>
      <c r="D1034" s="39"/>
      <c r="E1034" s="39"/>
      <c r="F1034" s="4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</row>
    <row r="1035" spans="1:21" ht="15.6">
      <c r="A1035" s="39"/>
      <c r="B1035" s="39"/>
      <c r="C1035" s="39"/>
      <c r="D1035" s="39"/>
      <c r="E1035" s="39"/>
      <c r="F1035" s="4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</row>
    <row r="1036" spans="1:21" ht="15.6">
      <c r="A1036" s="39"/>
      <c r="B1036" s="39"/>
      <c r="C1036" s="39"/>
      <c r="D1036" s="39"/>
      <c r="E1036" s="39"/>
      <c r="F1036" s="4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</row>
    <row r="1037" spans="1:21" ht="15.6">
      <c r="A1037" s="39"/>
      <c r="B1037" s="39"/>
      <c r="C1037" s="39"/>
      <c r="D1037" s="39"/>
      <c r="E1037" s="39"/>
      <c r="F1037" s="4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</row>
    <row r="1038" spans="1:21" ht="15.6">
      <c r="A1038" s="39"/>
      <c r="B1038" s="39"/>
      <c r="C1038" s="39"/>
      <c r="D1038" s="39"/>
      <c r="E1038" s="39"/>
      <c r="F1038" s="49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</row>
    <row r="1039" spans="1:21" ht="15.6">
      <c r="A1039" s="39"/>
      <c r="B1039" s="39"/>
      <c r="C1039" s="39"/>
      <c r="D1039" s="39"/>
      <c r="E1039" s="39"/>
      <c r="F1039" s="49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</row>
    <row r="1040" spans="1:21" ht="15.6">
      <c r="A1040" s="39"/>
      <c r="B1040" s="39"/>
      <c r="C1040" s="39"/>
      <c r="D1040" s="39"/>
      <c r="E1040" s="39"/>
      <c r="F1040" s="49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</row>
    <row r="1041" spans="1:21" ht="15.6">
      <c r="A1041" s="39"/>
      <c r="B1041" s="39"/>
      <c r="C1041" s="39"/>
      <c r="D1041" s="39"/>
      <c r="E1041" s="39"/>
      <c r="F1041" s="49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</row>
    <row r="1042" spans="1:21" ht="15.6">
      <c r="A1042" s="39"/>
      <c r="B1042" s="39"/>
      <c r="C1042" s="39"/>
      <c r="D1042" s="39"/>
      <c r="E1042" s="39"/>
      <c r="F1042" s="49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</row>
    <row r="1043" spans="1:21" ht="15.6">
      <c r="A1043" s="39"/>
      <c r="B1043" s="39"/>
      <c r="C1043" s="39"/>
      <c r="D1043" s="39"/>
      <c r="E1043" s="39"/>
      <c r="F1043" s="49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</row>
    <row r="1044" spans="1:21" ht="15.6">
      <c r="A1044" s="39"/>
      <c r="B1044" s="39"/>
      <c r="C1044" s="39"/>
      <c r="D1044" s="39"/>
      <c r="E1044" s="39"/>
      <c r="F1044" s="49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</row>
    <row r="1045" spans="1:21" ht="15.6">
      <c r="A1045" s="39"/>
      <c r="B1045" s="39"/>
      <c r="C1045" s="39"/>
      <c r="D1045" s="39"/>
      <c r="E1045" s="39"/>
      <c r="F1045" s="49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</row>
    <row r="1046" spans="1:21" ht="15.6">
      <c r="A1046" s="39"/>
      <c r="B1046" s="39"/>
      <c r="C1046" s="39"/>
      <c r="D1046" s="39"/>
      <c r="E1046" s="39"/>
      <c r="F1046" s="49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</row>
    <row r="1047" spans="1:21" ht="15.6">
      <c r="A1047" s="39"/>
      <c r="B1047" s="39"/>
      <c r="C1047" s="39"/>
      <c r="D1047" s="39"/>
      <c r="E1047" s="39"/>
      <c r="F1047" s="49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</row>
    <row r="1048" spans="1:21" ht="15.6">
      <c r="A1048" s="39"/>
      <c r="B1048" s="39"/>
      <c r="C1048" s="39"/>
      <c r="D1048" s="39"/>
      <c r="E1048" s="39"/>
      <c r="F1048" s="49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</row>
    <row r="1049" spans="1:21" ht="15.6">
      <c r="A1049" s="39"/>
      <c r="B1049" s="39"/>
      <c r="C1049" s="39"/>
      <c r="D1049" s="39"/>
      <c r="E1049" s="39"/>
      <c r="F1049" s="49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</row>
    <row r="1050" spans="1:21" ht="15.6">
      <c r="A1050" s="39"/>
      <c r="B1050" s="39"/>
      <c r="C1050" s="39"/>
      <c r="D1050" s="39"/>
      <c r="E1050" s="39"/>
      <c r="F1050" s="49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</row>
    <row r="1051" spans="1:21" ht="15.6">
      <c r="A1051" s="39"/>
      <c r="B1051" s="39"/>
      <c r="C1051" s="39"/>
      <c r="D1051" s="39"/>
      <c r="E1051" s="39"/>
      <c r="F1051" s="49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</row>
    <row r="1052" spans="1:21" ht="15.6">
      <c r="A1052" s="39"/>
      <c r="B1052" s="39"/>
      <c r="C1052" s="39"/>
      <c r="D1052" s="39"/>
      <c r="E1052" s="39"/>
      <c r="F1052" s="4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</row>
    <row r="1053" spans="1:21" ht="15.6">
      <c r="A1053" s="39"/>
      <c r="B1053" s="39"/>
      <c r="C1053" s="39"/>
      <c r="D1053" s="39"/>
      <c r="E1053" s="39"/>
      <c r="F1053" s="49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</row>
    <row r="1054" spans="1:21" ht="15.6">
      <c r="A1054" s="39"/>
      <c r="B1054" s="39"/>
      <c r="C1054" s="39"/>
      <c r="D1054" s="39"/>
      <c r="E1054" s="39"/>
      <c r="F1054" s="49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</row>
    <row r="1055" spans="1:21" ht="15.6">
      <c r="A1055" s="39"/>
      <c r="B1055" s="39"/>
      <c r="C1055" s="39"/>
      <c r="D1055" s="39"/>
      <c r="E1055" s="39"/>
      <c r="F1055" s="49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</row>
    <row r="1056" spans="1:21" ht="15.6">
      <c r="A1056" s="39"/>
      <c r="B1056" s="39"/>
      <c r="C1056" s="39"/>
      <c r="D1056" s="39"/>
      <c r="E1056" s="39"/>
      <c r="F1056" s="49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</row>
    <row r="1057" spans="1:21" ht="15.6">
      <c r="A1057" s="39"/>
      <c r="B1057" s="39"/>
      <c r="C1057" s="39"/>
      <c r="D1057" s="39"/>
      <c r="E1057" s="39"/>
      <c r="F1057" s="49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</row>
    <row r="1058" spans="1:21" ht="15.6">
      <c r="A1058" s="39"/>
      <c r="B1058" s="39"/>
      <c r="C1058" s="39"/>
      <c r="D1058" s="39"/>
      <c r="E1058" s="39"/>
      <c r="F1058" s="49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</row>
    <row r="1059" spans="1:21" ht="15.6">
      <c r="A1059" s="39"/>
      <c r="B1059" s="39"/>
      <c r="C1059" s="39"/>
      <c r="D1059" s="39"/>
      <c r="E1059" s="39"/>
      <c r="F1059" s="49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</row>
    <row r="1060" spans="1:21" ht="15.6">
      <c r="A1060" s="39"/>
      <c r="B1060" s="39"/>
      <c r="C1060" s="39"/>
      <c r="D1060" s="39"/>
      <c r="E1060" s="39"/>
      <c r="F1060" s="49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</row>
    <row r="1061" spans="1:21" ht="15.6">
      <c r="A1061" s="39"/>
      <c r="B1061" s="39"/>
      <c r="C1061" s="39"/>
      <c r="D1061" s="39"/>
      <c r="E1061" s="39"/>
      <c r="F1061" s="49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</row>
    <row r="1062" spans="1:21" ht="15.6">
      <c r="A1062" s="39"/>
      <c r="B1062" s="39"/>
      <c r="C1062" s="39"/>
      <c r="D1062" s="39"/>
      <c r="E1062" s="39"/>
      <c r="F1062" s="49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</row>
    <row r="1063" spans="1:21" ht="15.6">
      <c r="A1063" s="39"/>
      <c r="B1063" s="39"/>
      <c r="C1063" s="39"/>
      <c r="D1063" s="39"/>
      <c r="E1063" s="39"/>
      <c r="F1063" s="49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</row>
    <row r="1064" spans="1:21" ht="15.6">
      <c r="A1064" s="39"/>
      <c r="B1064" s="39"/>
      <c r="C1064" s="39"/>
      <c r="D1064" s="39"/>
      <c r="E1064" s="39"/>
      <c r="F1064" s="49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</row>
    <row r="1065" spans="1:21" ht="15.6">
      <c r="A1065" s="39"/>
      <c r="B1065" s="39"/>
      <c r="C1065" s="39"/>
      <c r="D1065" s="39"/>
      <c r="E1065" s="39"/>
      <c r="F1065" s="49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</row>
    <row r="1066" spans="1:21" ht="15.6">
      <c r="A1066" s="39"/>
      <c r="B1066" s="39"/>
      <c r="C1066" s="39"/>
      <c r="D1066" s="39"/>
      <c r="E1066" s="39"/>
      <c r="F1066" s="49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</row>
    <row r="1067" spans="1:21" ht="15.6">
      <c r="A1067" s="39"/>
      <c r="B1067" s="39"/>
      <c r="C1067" s="39"/>
      <c r="D1067" s="39"/>
      <c r="E1067" s="39"/>
      <c r="F1067" s="49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</row>
    <row r="1068" spans="1:21" ht="15.6">
      <c r="A1068" s="39"/>
      <c r="B1068" s="39"/>
      <c r="C1068" s="39"/>
      <c r="D1068" s="39"/>
      <c r="E1068" s="39"/>
      <c r="F1068" s="49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</row>
    <row r="1069" spans="1:21" ht="15.6">
      <c r="A1069" s="39"/>
      <c r="B1069" s="39"/>
      <c r="C1069" s="39"/>
      <c r="D1069" s="39"/>
      <c r="E1069" s="39"/>
      <c r="F1069" s="49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</row>
    <row r="1070" spans="1:21" ht="15.6">
      <c r="A1070" s="39"/>
      <c r="B1070" s="39"/>
      <c r="C1070" s="39"/>
      <c r="D1070" s="39"/>
      <c r="E1070" s="39"/>
      <c r="F1070" s="49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</row>
    <row r="1071" spans="1:21" ht="15.6">
      <c r="A1071" s="39"/>
      <c r="B1071" s="39"/>
      <c r="C1071" s="39"/>
      <c r="D1071" s="39"/>
      <c r="E1071" s="39"/>
      <c r="F1071" s="49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</row>
    <row r="1072" spans="1:21" ht="15.6">
      <c r="A1072" s="39"/>
      <c r="B1072" s="39"/>
      <c r="C1072" s="39"/>
      <c r="D1072" s="39"/>
      <c r="E1072" s="39"/>
      <c r="F1072" s="49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</row>
    <row r="1073" spans="1:21" ht="15.6">
      <c r="A1073" s="39"/>
      <c r="B1073" s="39"/>
      <c r="C1073" s="39"/>
      <c r="D1073" s="39"/>
      <c r="E1073" s="39"/>
      <c r="F1073" s="49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</row>
    <row r="1074" spans="1:21" ht="15.6">
      <c r="A1074" s="39"/>
      <c r="B1074" s="39"/>
      <c r="C1074" s="39"/>
      <c r="D1074" s="39"/>
      <c r="E1074" s="39"/>
      <c r="F1074" s="49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</row>
    <row r="1075" spans="1:21" ht="15.6">
      <c r="A1075" s="39"/>
      <c r="B1075" s="39"/>
      <c r="C1075" s="39"/>
      <c r="D1075" s="39"/>
      <c r="E1075" s="39"/>
      <c r="F1075" s="49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</row>
    <row r="1076" spans="1:21" ht="15.6">
      <c r="A1076" s="39"/>
      <c r="B1076" s="39"/>
      <c r="C1076" s="39"/>
      <c r="D1076" s="39"/>
      <c r="E1076" s="39"/>
      <c r="F1076" s="49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</row>
    <row r="1077" spans="1:21" ht="15.6">
      <c r="A1077" s="39"/>
      <c r="B1077" s="39"/>
      <c r="C1077" s="39"/>
      <c r="D1077" s="39"/>
      <c r="E1077" s="39"/>
      <c r="F1077" s="49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</row>
    <row r="1078" spans="1:21" ht="15.6">
      <c r="A1078" s="39"/>
      <c r="B1078" s="39"/>
      <c r="C1078" s="39"/>
      <c r="D1078" s="39"/>
      <c r="E1078" s="39"/>
      <c r="F1078" s="49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</row>
    <row r="1079" spans="1:21" ht="15.6">
      <c r="A1079" s="39"/>
      <c r="B1079" s="39"/>
      <c r="C1079" s="39"/>
      <c r="D1079" s="39"/>
      <c r="E1079" s="39"/>
      <c r="F1079" s="49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</row>
    <row r="1080" spans="1:21" ht="15.6">
      <c r="A1080" s="39"/>
      <c r="B1080" s="39"/>
      <c r="C1080" s="39"/>
      <c r="D1080" s="39"/>
      <c r="E1080" s="39"/>
      <c r="F1080" s="49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</row>
    <row r="1081" spans="1:21" ht="15.6">
      <c r="A1081" s="39"/>
      <c r="B1081" s="39"/>
      <c r="C1081" s="39"/>
      <c r="D1081" s="39"/>
      <c r="E1081" s="39"/>
      <c r="F1081" s="49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</row>
    <row r="1082" spans="1:21" ht="15.6">
      <c r="A1082" s="39"/>
      <c r="B1082" s="39"/>
      <c r="C1082" s="39"/>
      <c r="D1082" s="39"/>
      <c r="E1082" s="39"/>
      <c r="F1082" s="49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</row>
    <row r="1083" spans="1:21" ht="15.6">
      <c r="A1083" s="39"/>
      <c r="B1083" s="39"/>
      <c r="C1083" s="39"/>
      <c r="D1083" s="39"/>
      <c r="E1083" s="39"/>
      <c r="F1083" s="49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</row>
    <row r="1084" spans="1:21" ht="15.6">
      <c r="A1084" s="39"/>
      <c r="B1084" s="39"/>
      <c r="C1084" s="39"/>
      <c r="D1084" s="39"/>
      <c r="E1084" s="39"/>
      <c r="F1084" s="49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</row>
    <row r="1085" spans="1:21" ht="15.6">
      <c r="A1085" s="39"/>
      <c r="B1085" s="39"/>
      <c r="C1085" s="39"/>
      <c r="D1085" s="39"/>
      <c r="E1085" s="39"/>
      <c r="F1085" s="49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</row>
    <row r="1086" spans="1:21" ht="15.6">
      <c r="A1086" s="39"/>
      <c r="B1086" s="39"/>
      <c r="C1086" s="39"/>
      <c r="D1086" s="39"/>
      <c r="E1086" s="39"/>
      <c r="F1086" s="49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</row>
    <row r="1087" spans="1:21" ht="15.6">
      <c r="A1087" s="39"/>
      <c r="B1087" s="39"/>
      <c r="C1087" s="39"/>
      <c r="D1087" s="39"/>
      <c r="E1087" s="39"/>
      <c r="F1087" s="49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</row>
    <row r="1088" spans="1:21" ht="15.6">
      <c r="A1088" s="39"/>
      <c r="B1088" s="39"/>
      <c r="C1088" s="39"/>
      <c r="D1088" s="39"/>
      <c r="E1088" s="39"/>
      <c r="F1088" s="49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</row>
    <row r="1089" spans="1:21" ht="15.6">
      <c r="A1089" s="39"/>
      <c r="B1089" s="39"/>
      <c r="C1089" s="39"/>
      <c r="D1089" s="39"/>
      <c r="E1089" s="39"/>
      <c r="F1089" s="49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</row>
    <row r="1090" spans="1:21" ht="15.6">
      <c r="A1090" s="39"/>
      <c r="B1090" s="39"/>
      <c r="C1090" s="39"/>
      <c r="D1090" s="39"/>
      <c r="E1090" s="39"/>
      <c r="F1090" s="49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</row>
    <row r="1091" spans="1:21" ht="15.6">
      <c r="A1091" s="39"/>
      <c r="B1091" s="39"/>
      <c r="C1091" s="39"/>
      <c r="D1091" s="39"/>
      <c r="E1091" s="39"/>
      <c r="F1091" s="49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</row>
    <row r="1092" spans="1:21" ht="15.6">
      <c r="A1092" s="39"/>
      <c r="B1092" s="39"/>
      <c r="C1092" s="39"/>
      <c r="D1092" s="39"/>
      <c r="E1092" s="39"/>
      <c r="F1092" s="49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</row>
    <row r="1093" spans="1:21" ht="15.6">
      <c r="A1093" s="39"/>
      <c r="B1093" s="39"/>
      <c r="C1093" s="39"/>
      <c r="D1093" s="39"/>
      <c r="E1093" s="39"/>
      <c r="F1093" s="49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</row>
    <row r="1094" spans="1:21" ht="15.6">
      <c r="A1094" s="39"/>
      <c r="B1094" s="39"/>
      <c r="C1094" s="39"/>
      <c r="D1094" s="39"/>
      <c r="E1094" s="39"/>
      <c r="F1094" s="49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</row>
    <row r="1095" spans="1:21" ht="15.6">
      <c r="A1095" s="39"/>
      <c r="B1095" s="39"/>
      <c r="C1095" s="39"/>
      <c r="D1095" s="39"/>
      <c r="E1095" s="39"/>
      <c r="F1095" s="49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</row>
    <row r="1096" spans="1:21" ht="15.6">
      <c r="A1096" s="39"/>
      <c r="B1096" s="39"/>
      <c r="C1096" s="39"/>
      <c r="D1096" s="39"/>
      <c r="E1096" s="39"/>
      <c r="F1096" s="49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</row>
    <row r="1097" spans="1:21" ht="15.6">
      <c r="A1097" s="39"/>
      <c r="B1097" s="39"/>
      <c r="C1097" s="39"/>
      <c r="D1097" s="39"/>
      <c r="E1097" s="39"/>
      <c r="F1097" s="49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</row>
    <row r="1098" spans="1:21" ht="15.6">
      <c r="A1098" s="39"/>
      <c r="B1098" s="39"/>
      <c r="C1098" s="39"/>
      <c r="D1098" s="39"/>
      <c r="E1098" s="39"/>
      <c r="F1098" s="49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</row>
    <row r="1099" spans="1:21" ht="15.6">
      <c r="A1099" s="39"/>
      <c r="B1099" s="39"/>
      <c r="C1099" s="39"/>
      <c r="D1099" s="39"/>
      <c r="E1099" s="39"/>
      <c r="F1099" s="49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</row>
    <row r="1100" spans="1:21" ht="15.6">
      <c r="A1100" s="39"/>
      <c r="B1100" s="39"/>
      <c r="C1100" s="39"/>
      <c r="D1100" s="39"/>
      <c r="E1100" s="39"/>
      <c r="F1100" s="49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</row>
    <row r="1101" spans="1:21" ht="15.6">
      <c r="A1101" s="39"/>
      <c r="B1101" s="39"/>
      <c r="C1101" s="39"/>
      <c r="D1101" s="39"/>
      <c r="E1101" s="39"/>
      <c r="F1101" s="49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</row>
    <row r="1102" spans="1:21" ht="15.6">
      <c r="A1102" s="39"/>
      <c r="B1102" s="39"/>
      <c r="C1102" s="39"/>
      <c r="D1102" s="39"/>
      <c r="E1102" s="39"/>
      <c r="F1102" s="49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</row>
    <row r="1103" spans="1:21" ht="15.6">
      <c r="A1103" s="39"/>
      <c r="B1103" s="39"/>
      <c r="C1103" s="39"/>
      <c r="D1103" s="39"/>
      <c r="E1103" s="39"/>
      <c r="F1103" s="49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</row>
    <row r="1104" spans="1:21" ht="15.6">
      <c r="A1104" s="39"/>
      <c r="B1104" s="39"/>
      <c r="C1104" s="39"/>
      <c r="D1104" s="39"/>
      <c r="E1104" s="39"/>
      <c r="F1104" s="49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</row>
    <row r="1105" spans="1:21" ht="15.6">
      <c r="A1105" s="39"/>
      <c r="B1105" s="39"/>
      <c r="C1105" s="39"/>
      <c r="D1105" s="39"/>
      <c r="E1105" s="39"/>
      <c r="F1105" s="49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</row>
    <row r="1106" spans="1:21" ht="15.6">
      <c r="A1106" s="39"/>
      <c r="B1106" s="39"/>
      <c r="C1106" s="39"/>
      <c r="D1106" s="39"/>
      <c r="E1106" s="39"/>
      <c r="F1106" s="49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</row>
    <row r="1107" spans="1:21" ht="15.6">
      <c r="A1107" s="39"/>
      <c r="B1107" s="39"/>
      <c r="C1107" s="39"/>
      <c r="D1107" s="39"/>
      <c r="E1107" s="39"/>
      <c r="F1107" s="49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</row>
    <row r="1108" spans="1:21" ht="15.6">
      <c r="A1108" s="39"/>
      <c r="B1108" s="39"/>
      <c r="C1108" s="39"/>
      <c r="D1108" s="39"/>
      <c r="E1108" s="39"/>
      <c r="F1108" s="49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</row>
    <row r="1109" spans="1:21" ht="15.6">
      <c r="A1109" s="39"/>
      <c r="B1109" s="39"/>
      <c r="C1109" s="39"/>
      <c r="D1109" s="39"/>
      <c r="E1109" s="39"/>
      <c r="F1109" s="49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</row>
    <row r="1110" spans="1:21" ht="15.6">
      <c r="A1110" s="39"/>
      <c r="B1110" s="39"/>
      <c r="C1110" s="39"/>
      <c r="D1110" s="39"/>
      <c r="E1110" s="39"/>
      <c r="F1110" s="49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</row>
    <row r="1111" spans="1:21" ht="15.6">
      <c r="A1111" s="39"/>
      <c r="B1111" s="39"/>
      <c r="C1111" s="39"/>
      <c r="D1111" s="39"/>
      <c r="E1111" s="39"/>
      <c r="F1111" s="49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</row>
    <row r="1112" spans="1:21" ht="15.6">
      <c r="A1112" s="39"/>
      <c r="B1112" s="39"/>
      <c r="C1112" s="39"/>
      <c r="D1112" s="39"/>
      <c r="E1112" s="39"/>
      <c r="F1112" s="49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</row>
    <row r="1113" spans="1:21" ht="15.6">
      <c r="A1113" s="39"/>
      <c r="B1113" s="39"/>
      <c r="C1113" s="39"/>
      <c r="D1113" s="39"/>
      <c r="E1113" s="39"/>
      <c r="F1113" s="49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</row>
    <row r="1114" spans="1:21" ht="15.6">
      <c r="A1114" s="39"/>
      <c r="B1114" s="39"/>
      <c r="C1114" s="39"/>
      <c r="D1114" s="39"/>
      <c r="E1114" s="39"/>
      <c r="F1114" s="4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</row>
    <row r="1115" spans="1:21" ht="15.6">
      <c r="A1115" s="39"/>
      <c r="B1115" s="39"/>
      <c r="C1115" s="39"/>
      <c r="D1115" s="39"/>
      <c r="E1115" s="39"/>
      <c r="F1115" s="49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</row>
    <row r="1116" spans="1:21" ht="15.6">
      <c r="A1116" s="39"/>
      <c r="B1116" s="39"/>
      <c r="C1116" s="39"/>
      <c r="D1116" s="39"/>
      <c r="E1116" s="39"/>
      <c r="F1116" s="49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</row>
    <row r="1117" spans="1:21" ht="15.6">
      <c r="A1117" s="39"/>
      <c r="B1117" s="39"/>
      <c r="C1117" s="39"/>
      <c r="D1117" s="39"/>
      <c r="E1117" s="39"/>
      <c r="F1117" s="49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</row>
    <row r="1118" spans="1:21" ht="15.6">
      <c r="A1118" s="39"/>
      <c r="B1118" s="39"/>
      <c r="C1118" s="39"/>
      <c r="D1118" s="39"/>
      <c r="E1118" s="39"/>
      <c r="F1118" s="49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</row>
    <row r="1119" spans="1:21" ht="15.6">
      <c r="A1119" s="39"/>
      <c r="B1119" s="39"/>
      <c r="C1119" s="39"/>
      <c r="D1119" s="39"/>
      <c r="E1119" s="39"/>
      <c r="F1119" s="49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</row>
    <row r="1120" spans="1:21" ht="15.6">
      <c r="A1120" s="39"/>
      <c r="B1120" s="39"/>
      <c r="C1120" s="39"/>
      <c r="D1120" s="39"/>
      <c r="E1120" s="39"/>
      <c r="F1120" s="49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</row>
    <row r="1121" spans="1:21" ht="15.6">
      <c r="A1121" s="39"/>
      <c r="B1121" s="39"/>
      <c r="C1121" s="39"/>
      <c r="D1121" s="39"/>
      <c r="E1121" s="39"/>
      <c r="F1121" s="49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</row>
    <row r="1122" spans="1:21" ht="15.6">
      <c r="A1122" s="39"/>
      <c r="B1122" s="39"/>
      <c r="C1122" s="39"/>
      <c r="D1122" s="39"/>
      <c r="E1122" s="39"/>
      <c r="F1122" s="49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</row>
    <row r="1123" spans="1:21" ht="15.6">
      <c r="A1123" s="39"/>
      <c r="B1123" s="39"/>
      <c r="C1123" s="39"/>
      <c r="D1123" s="39"/>
      <c r="E1123" s="39"/>
      <c r="F1123" s="49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</row>
    <row r="1124" spans="1:21" ht="15.6">
      <c r="A1124" s="39"/>
      <c r="B1124" s="39"/>
      <c r="C1124" s="39"/>
      <c r="D1124" s="39"/>
      <c r="E1124" s="39"/>
      <c r="F1124" s="49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</row>
    <row r="1125" spans="1:21" ht="15.6">
      <c r="A1125" s="39"/>
      <c r="B1125" s="39"/>
      <c r="C1125" s="39"/>
      <c r="D1125" s="39"/>
      <c r="E1125" s="39"/>
      <c r="F1125" s="49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</row>
    <row r="1126" spans="1:21" ht="15.6">
      <c r="A1126" s="39"/>
      <c r="B1126" s="39"/>
      <c r="C1126" s="39"/>
      <c r="D1126" s="39"/>
      <c r="E1126" s="39"/>
      <c r="F1126" s="49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</row>
    <row r="1127" spans="1:21" ht="15.6">
      <c r="A1127" s="39"/>
      <c r="B1127" s="39"/>
      <c r="C1127" s="39"/>
      <c r="D1127" s="39"/>
      <c r="E1127" s="39"/>
      <c r="F1127" s="49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</row>
    <row r="1128" spans="1:21" ht="15.6">
      <c r="A1128" s="39"/>
      <c r="B1128" s="39"/>
      <c r="C1128" s="39"/>
      <c r="D1128" s="39"/>
      <c r="E1128" s="39"/>
      <c r="F1128" s="49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</row>
    <row r="1129" spans="1:21" ht="15.6">
      <c r="A1129" s="39"/>
      <c r="B1129" s="39"/>
      <c r="C1129" s="39"/>
      <c r="D1129" s="39"/>
      <c r="E1129" s="39"/>
      <c r="F1129" s="49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</row>
    <row r="1130" spans="1:21" ht="15.6">
      <c r="A1130" s="39"/>
      <c r="B1130" s="39"/>
      <c r="C1130" s="39"/>
      <c r="D1130" s="39"/>
      <c r="E1130" s="39"/>
      <c r="F1130" s="49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</row>
    <row r="1131" spans="1:21" ht="15.6">
      <c r="A1131" s="39"/>
      <c r="B1131" s="39"/>
      <c r="C1131" s="39"/>
      <c r="D1131" s="39"/>
      <c r="E1131" s="39"/>
      <c r="F1131" s="49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</row>
    <row r="1132" spans="1:21" ht="15.6">
      <c r="A1132" s="39"/>
      <c r="B1132" s="39"/>
      <c r="C1132" s="39"/>
      <c r="D1132" s="39"/>
      <c r="E1132" s="39"/>
      <c r="F1132" s="49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</row>
    <row r="1133" spans="1:21" ht="15.6">
      <c r="A1133" s="39"/>
      <c r="B1133" s="39"/>
      <c r="C1133" s="39"/>
      <c r="D1133" s="39"/>
      <c r="E1133" s="39"/>
      <c r="F1133" s="49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</row>
    <row r="1134" spans="1:21" ht="15.6">
      <c r="A1134" s="39"/>
      <c r="B1134" s="39"/>
      <c r="C1134" s="39"/>
      <c r="D1134" s="39"/>
      <c r="E1134" s="39"/>
      <c r="F1134" s="49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</row>
    <row r="1135" spans="1:21" ht="15.6">
      <c r="A1135" s="39"/>
      <c r="B1135" s="39"/>
      <c r="C1135" s="39"/>
      <c r="D1135" s="39"/>
      <c r="E1135" s="39"/>
      <c r="F1135" s="49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</row>
    <row r="1136" spans="1:21" ht="15.6">
      <c r="A1136" s="39"/>
      <c r="B1136" s="39"/>
      <c r="C1136" s="39"/>
      <c r="D1136" s="39"/>
      <c r="E1136" s="39"/>
      <c r="F1136" s="49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</row>
    <row r="1137" spans="1:21" ht="15.6">
      <c r="A1137" s="39"/>
      <c r="B1137" s="39"/>
      <c r="C1137" s="39"/>
      <c r="D1137" s="39"/>
      <c r="E1137" s="39"/>
      <c r="F1137" s="49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</row>
    <row r="1138" spans="1:21" ht="15.6">
      <c r="A1138" s="39"/>
      <c r="B1138" s="39"/>
      <c r="C1138" s="39"/>
      <c r="D1138" s="39"/>
      <c r="E1138" s="39"/>
      <c r="F1138" s="49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</row>
    <row r="1139" spans="1:21" ht="15.6">
      <c r="A1139" s="39"/>
      <c r="B1139" s="39"/>
      <c r="C1139" s="39"/>
      <c r="D1139" s="39"/>
      <c r="E1139" s="39"/>
      <c r="F1139" s="49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</row>
    <row r="1140" spans="1:21" ht="15.6">
      <c r="A1140" s="39"/>
      <c r="B1140" s="39"/>
      <c r="C1140" s="39"/>
      <c r="D1140" s="39"/>
      <c r="E1140" s="39"/>
      <c r="F1140" s="49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</row>
    <row r="1141" spans="1:21" ht="15.6">
      <c r="A1141" s="39"/>
      <c r="B1141" s="39"/>
      <c r="C1141" s="39"/>
      <c r="D1141" s="39"/>
      <c r="E1141" s="39"/>
      <c r="F1141" s="49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</row>
    <row r="1142" spans="1:21" ht="15.6">
      <c r="A1142" s="39"/>
      <c r="B1142" s="39"/>
      <c r="C1142" s="39"/>
      <c r="D1142" s="39"/>
      <c r="E1142" s="39"/>
      <c r="F1142" s="49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</row>
    <row r="1143" spans="1:21" ht="15.6">
      <c r="A1143" s="39"/>
      <c r="B1143" s="39"/>
      <c r="C1143" s="39"/>
      <c r="D1143" s="39"/>
      <c r="E1143" s="39"/>
      <c r="F1143" s="49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</row>
    <row r="1144" spans="1:21" ht="15.6">
      <c r="A1144" s="39"/>
      <c r="B1144" s="39"/>
      <c r="C1144" s="39"/>
      <c r="D1144" s="39"/>
      <c r="E1144" s="39"/>
      <c r="F1144" s="49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</row>
    <row r="1145" spans="1:21" ht="15.6">
      <c r="A1145" s="39"/>
      <c r="B1145" s="39"/>
      <c r="C1145" s="39"/>
      <c r="D1145" s="39"/>
      <c r="E1145" s="39"/>
      <c r="F1145" s="49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</row>
    <row r="1146" spans="1:21" ht="15.6">
      <c r="A1146" s="39"/>
      <c r="B1146" s="39"/>
      <c r="C1146" s="39"/>
      <c r="D1146" s="39"/>
      <c r="E1146" s="39"/>
      <c r="F1146" s="49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</row>
    <row r="1147" spans="1:21" ht="15.6">
      <c r="A1147" s="39"/>
      <c r="B1147" s="39"/>
      <c r="C1147" s="39"/>
      <c r="D1147" s="39"/>
      <c r="E1147" s="39"/>
      <c r="F1147" s="49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</row>
    <row r="1148" spans="1:21" ht="15.6">
      <c r="A1148" s="39"/>
      <c r="B1148" s="39"/>
      <c r="C1148" s="39"/>
      <c r="D1148" s="39"/>
      <c r="E1148" s="39"/>
      <c r="F1148" s="4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</row>
    <row r="1149" spans="1:21" ht="15.6">
      <c r="A1149" s="39"/>
      <c r="B1149" s="39"/>
      <c r="C1149" s="39"/>
      <c r="D1149" s="39"/>
      <c r="E1149" s="39"/>
      <c r="F1149" s="4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</row>
    <row r="1150" spans="1:21" ht="15.6">
      <c r="A1150" s="39"/>
      <c r="B1150" s="39"/>
      <c r="C1150" s="39"/>
      <c r="D1150" s="39"/>
      <c r="E1150" s="39"/>
      <c r="F1150" s="4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</row>
    <row r="1151" spans="1:21" ht="15.6">
      <c r="A1151" s="39"/>
      <c r="B1151" s="39"/>
      <c r="C1151" s="39"/>
      <c r="D1151" s="39"/>
      <c r="E1151" s="39"/>
      <c r="F1151" s="4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</row>
    <row r="1152" spans="1:21" ht="15.6">
      <c r="A1152" s="39"/>
      <c r="B1152" s="39"/>
      <c r="C1152" s="39"/>
      <c r="D1152" s="39"/>
      <c r="E1152" s="39"/>
      <c r="F1152" s="4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</row>
    <row r="1153" spans="1:21" ht="15.6">
      <c r="A1153" s="39"/>
      <c r="B1153" s="39"/>
      <c r="C1153" s="39"/>
      <c r="D1153" s="39"/>
      <c r="E1153" s="39"/>
      <c r="F1153" s="4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</row>
    <row r="1154" spans="1:21" ht="15.6">
      <c r="A1154" s="39"/>
      <c r="B1154" s="39"/>
      <c r="C1154" s="39"/>
      <c r="D1154" s="39"/>
      <c r="E1154" s="39"/>
      <c r="F1154" s="4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</row>
    <row r="1155" spans="1:21" ht="15.6">
      <c r="A1155" s="39"/>
      <c r="B1155" s="39"/>
      <c r="C1155" s="39"/>
      <c r="D1155" s="39"/>
      <c r="E1155" s="39"/>
      <c r="F1155" s="4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</row>
    <row r="1156" spans="1:21" ht="15.6">
      <c r="A1156" s="39"/>
      <c r="B1156" s="39"/>
      <c r="C1156" s="39"/>
      <c r="D1156" s="39"/>
      <c r="E1156" s="39"/>
      <c r="F1156" s="4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</row>
    <row r="1157" spans="1:21" ht="15.6">
      <c r="A1157" s="39"/>
      <c r="B1157" s="39"/>
      <c r="C1157" s="39"/>
      <c r="D1157" s="39"/>
      <c r="E1157" s="39"/>
      <c r="F1157" s="4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</row>
    <row r="1158" spans="1:21" ht="15.6">
      <c r="A1158" s="39"/>
      <c r="B1158" s="39"/>
      <c r="C1158" s="39"/>
      <c r="D1158" s="39"/>
      <c r="E1158" s="39"/>
      <c r="F1158" s="4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</row>
    <row r="1159" spans="1:21" ht="15.6">
      <c r="A1159" s="39"/>
      <c r="B1159" s="39"/>
      <c r="C1159" s="39"/>
      <c r="D1159" s="39"/>
      <c r="E1159" s="39"/>
      <c r="F1159" s="4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</row>
    <row r="1160" spans="1:21" ht="15.6">
      <c r="A1160" s="39"/>
      <c r="B1160" s="39"/>
      <c r="C1160" s="39"/>
      <c r="D1160" s="39"/>
      <c r="E1160" s="39"/>
      <c r="F1160" s="4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</row>
    <row r="1161" spans="1:21" ht="15.6">
      <c r="A1161" s="39"/>
      <c r="B1161" s="39"/>
      <c r="C1161" s="39"/>
      <c r="D1161" s="39"/>
      <c r="E1161" s="39"/>
      <c r="F1161" s="4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</row>
    <row r="1162" spans="1:21" ht="15.6">
      <c r="A1162" s="39"/>
      <c r="B1162" s="39"/>
      <c r="C1162" s="39"/>
      <c r="D1162" s="39"/>
      <c r="E1162" s="39"/>
      <c r="F1162" s="4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</row>
    <row r="1163" spans="1:21" ht="15.6">
      <c r="A1163" s="39"/>
      <c r="B1163" s="39"/>
      <c r="C1163" s="39"/>
      <c r="D1163" s="39"/>
      <c r="E1163" s="39"/>
      <c r="F1163" s="4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</row>
    <row r="1164" spans="1:21" ht="15.6">
      <c r="A1164" s="39"/>
      <c r="B1164" s="39"/>
      <c r="C1164" s="39"/>
      <c r="D1164" s="39"/>
      <c r="E1164" s="39"/>
      <c r="F1164" s="4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</row>
    <row r="1165" spans="1:21" ht="15.6">
      <c r="A1165" s="39"/>
      <c r="B1165" s="39"/>
      <c r="C1165" s="39"/>
      <c r="D1165" s="39"/>
      <c r="E1165" s="39"/>
      <c r="F1165" s="4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</row>
    <row r="1166" spans="1:21" ht="15.6">
      <c r="A1166" s="39"/>
      <c r="B1166" s="39"/>
      <c r="C1166" s="39"/>
      <c r="D1166" s="39"/>
      <c r="E1166" s="39"/>
      <c r="F1166" s="4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</row>
    <row r="1167" spans="1:21" ht="15.6">
      <c r="A1167" s="39"/>
      <c r="B1167" s="39"/>
      <c r="C1167" s="39"/>
      <c r="D1167" s="39"/>
      <c r="E1167" s="39"/>
      <c r="F1167" s="4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</row>
    <row r="1168" spans="1:21" ht="15.6">
      <c r="A1168" s="39"/>
      <c r="B1168" s="39"/>
      <c r="C1168" s="39"/>
      <c r="D1168" s="39"/>
      <c r="E1168" s="39"/>
      <c r="F1168" s="4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</row>
    <row r="1169" spans="1:21" ht="15.6">
      <c r="A1169" s="39"/>
      <c r="B1169" s="39"/>
      <c r="C1169" s="39"/>
      <c r="D1169" s="39"/>
      <c r="E1169" s="39"/>
      <c r="F1169" s="4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</row>
    <row r="1170" spans="1:21" ht="15.6">
      <c r="A1170" s="39"/>
      <c r="B1170" s="39"/>
      <c r="C1170" s="39"/>
      <c r="D1170" s="39"/>
      <c r="E1170" s="39"/>
      <c r="F1170" s="4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</row>
    <row r="1171" spans="1:21" ht="15.6">
      <c r="A1171" s="39"/>
      <c r="B1171" s="39"/>
      <c r="C1171" s="39"/>
      <c r="D1171" s="39"/>
      <c r="E1171" s="39"/>
      <c r="F1171" s="4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</row>
    <row r="1172" spans="1:21" ht="15.6">
      <c r="A1172" s="39"/>
      <c r="B1172" s="39"/>
      <c r="C1172" s="39"/>
      <c r="D1172" s="39"/>
      <c r="E1172" s="39"/>
      <c r="F1172" s="4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</row>
    <row r="1173" spans="1:21" ht="15.6">
      <c r="A1173" s="39"/>
      <c r="B1173" s="39"/>
      <c r="C1173" s="39"/>
      <c r="D1173" s="39"/>
      <c r="E1173" s="39"/>
      <c r="F1173" s="4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</row>
    <row r="1174" spans="1:21" ht="15.6">
      <c r="A1174" s="39"/>
      <c r="B1174" s="39"/>
      <c r="C1174" s="39"/>
      <c r="D1174" s="39"/>
      <c r="E1174" s="39"/>
      <c r="F1174" s="4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</row>
    <row r="1175" spans="1:21" ht="15.6">
      <c r="A1175" s="39"/>
      <c r="B1175" s="39"/>
      <c r="C1175" s="39"/>
      <c r="D1175" s="39"/>
      <c r="E1175" s="39"/>
      <c r="F1175" s="4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</row>
    <row r="1176" spans="1:21" ht="15.6">
      <c r="A1176" s="39"/>
      <c r="B1176" s="39"/>
      <c r="C1176" s="39"/>
      <c r="D1176" s="39"/>
      <c r="E1176" s="39"/>
      <c r="F1176" s="4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</row>
    <row r="1177" spans="1:21" ht="15.6">
      <c r="A1177" s="39"/>
      <c r="B1177" s="39"/>
      <c r="C1177" s="39"/>
      <c r="D1177" s="39"/>
      <c r="E1177" s="39"/>
      <c r="F1177" s="4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</row>
    <row r="1178" spans="1:21" ht="15.6">
      <c r="A1178" s="39"/>
      <c r="B1178" s="39"/>
      <c r="C1178" s="39"/>
      <c r="D1178" s="39"/>
      <c r="E1178" s="39"/>
      <c r="F1178" s="4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</row>
    <row r="1179" spans="1:21" ht="15.6">
      <c r="A1179" s="39"/>
      <c r="B1179" s="39"/>
      <c r="C1179" s="39"/>
      <c r="D1179" s="39"/>
      <c r="E1179" s="39"/>
      <c r="F1179" s="4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</row>
    <row r="1180" spans="1:21" ht="15.6">
      <c r="A1180" s="39"/>
      <c r="B1180" s="39"/>
      <c r="C1180" s="39"/>
      <c r="D1180" s="39"/>
      <c r="E1180" s="39"/>
      <c r="F1180" s="4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</row>
    <row r="1181" spans="1:21" ht="15.6">
      <c r="A1181" s="39"/>
      <c r="B1181" s="39"/>
      <c r="C1181" s="39"/>
      <c r="D1181" s="39"/>
      <c r="E1181" s="39"/>
      <c r="F1181" s="4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</row>
    <row r="1182" spans="1:21" ht="15.6">
      <c r="A1182" s="39"/>
      <c r="B1182" s="39"/>
      <c r="C1182" s="39"/>
      <c r="D1182" s="39"/>
      <c r="E1182" s="39"/>
      <c r="F1182" s="4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</row>
    <row r="1183" spans="1:21" ht="15.6">
      <c r="A1183" s="39"/>
      <c r="B1183" s="39"/>
      <c r="C1183" s="39"/>
      <c r="D1183" s="39"/>
      <c r="E1183" s="39"/>
      <c r="F1183" s="4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</row>
    <row r="1184" spans="1:21" ht="15.6">
      <c r="A1184" s="39"/>
      <c r="B1184" s="39"/>
      <c r="C1184" s="39"/>
      <c r="D1184" s="39"/>
      <c r="E1184" s="39"/>
      <c r="F1184" s="4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</row>
    <row r="1185" spans="1:21" ht="15.6">
      <c r="A1185" s="39"/>
      <c r="B1185" s="39"/>
      <c r="C1185" s="39"/>
      <c r="D1185" s="39"/>
      <c r="E1185" s="39"/>
      <c r="F1185" s="4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</row>
    <row r="1186" spans="1:21" ht="15.6">
      <c r="A1186" s="39"/>
      <c r="B1186" s="39"/>
      <c r="C1186" s="39"/>
      <c r="D1186" s="39"/>
      <c r="E1186" s="39"/>
      <c r="F1186" s="4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</row>
    <row r="1187" spans="1:21" ht="15.6">
      <c r="A1187" s="39"/>
      <c r="B1187" s="39"/>
      <c r="C1187" s="39"/>
      <c r="D1187" s="39"/>
      <c r="E1187" s="39"/>
      <c r="F1187" s="4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</row>
    <row r="1188" spans="1:21" ht="15.6">
      <c r="A1188" s="39"/>
      <c r="B1188" s="39"/>
      <c r="C1188" s="39"/>
      <c r="D1188" s="39"/>
      <c r="E1188" s="39"/>
      <c r="F1188" s="4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</row>
    <row r="1189" spans="1:21" ht="15.6">
      <c r="A1189" s="39"/>
      <c r="B1189" s="39"/>
      <c r="C1189" s="39"/>
      <c r="D1189" s="39"/>
      <c r="E1189" s="39"/>
      <c r="F1189" s="4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</row>
    <row r="1190" spans="1:21" ht="15.6">
      <c r="A1190" s="39"/>
      <c r="B1190" s="39"/>
      <c r="C1190" s="39"/>
      <c r="D1190" s="39"/>
      <c r="E1190" s="39"/>
      <c r="F1190" s="4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</row>
    <row r="1191" spans="1:21" ht="15.6">
      <c r="A1191" s="39"/>
      <c r="B1191" s="39"/>
      <c r="C1191" s="39"/>
      <c r="D1191" s="39"/>
      <c r="E1191" s="39"/>
      <c r="F1191" s="4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</row>
    <row r="1192" spans="1:21" ht="15.6">
      <c r="A1192" s="39"/>
      <c r="B1192" s="39"/>
      <c r="C1192" s="39"/>
      <c r="D1192" s="39"/>
      <c r="E1192" s="39"/>
      <c r="F1192" s="4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</row>
    <row r="1193" spans="1:21" ht="15.6">
      <c r="A1193" s="39"/>
      <c r="B1193" s="39"/>
      <c r="C1193" s="39"/>
      <c r="D1193" s="39"/>
      <c r="E1193" s="39"/>
      <c r="F1193" s="4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</row>
    <row r="1194" spans="1:21" ht="15.6">
      <c r="A1194" s="39"/>
      <c r="B1194" s="39"/>
      <c r="C1194" s="39"/>
      <c r="D1194" s="39"/>
      <c r="E1194" s="39"/>
      <c r="F1194" s="4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</row>
    <row r="1195" spans="1:21" ht="15.6">
      <c r="A1195" s="39"/>
      <c r="B1195" s="39"/>
      <c r="C1195" s="39"/>
      <c r="D1195" s="39"/>
      <c r="E1195" s="39"/>
      <c r="F1195" s="4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</row>
    <row r="1196" spans="1:21" ht="15.6">
      <c r="A1196" s="39"/>
      <c r="B1196" s="39"/>
      <c r="C1196" s="39"/>
      <c r="D1196" s="39"/>
      <c r="E1196" s="39"/>
      <c r="F1196" s="4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</row>
    <row r="1197" spans="1:21" ht="15.6">
      <c r="A1197" s="39"/>
      <c r="B1197" s="39"/>
      <c r="C1197" s="39"/>
      <c r="D1197" s="39"/>
      <c r="E1197" s="39"/>
      <c r="F1197" s="4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</row>
    <row r="1198" spans="1:21" ht="15.6">
      <c r="A1198" s="39"/>
      <c r="B1198" s="39"/>
      <c r="C1198" s="39"/>
      <c r="D1198" s="39"/>
      <c r="E1198" s="39"/>
      <c r="F1198" s="4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</row>
    <row r="1199" spans="1:21" ht="15.6">
      <c r="A1199" s="39"/>
      <c r="B1199" s="39"/>
      <c r="C1199" s="39"/>
      <c r="D1199" s="39"/>
      <c r="E1199" s="39"/>
      <c r="F1199" s="4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</row>
    <row r="1200" spans="1:21" ht="15.6">
      <c r="A1200" s="39"/>
      <c r="B1200" s="39"/>
      <c r="C1200" s="39"/>
      <c r="D1200" s="39"/>
      <c r="E1200" s="39"/>
      <c r="F1200" s="4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</row>
    <row r="1201" spans="1:21" ht="15.6">
      <c r="A1201" s="39"/>
      <c r="B1201" s="39"/>
      <c r="C1201" s="39"/>
      <c r="D1201" s="39"/>
      <c r="E1201" s="39"/>
      <c r="F1201" s="4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</row>
    <row r="1202" spans="1:21" ht="15.6">
      <c r="A1202" s="39"/>
      <c r="B1202" s="39"/>
      <c r="C1202" s="39"/>
      <c r="D1202" s="39"/>
      <c r="E1202" s="39"/>
      <c r="F1202" s="4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</row>
    <row r="1203" spans="1:21" ht="15.6">
      <c r="A1203" s="39"/>
      <c r="B1203" s="39"/>
      <c r="C1203" s="39"/>
      <c r="D1203" s="39"/>
      <c r="E1203" s="39"/>
      <c r="F1203" s="49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</row>
    <row r="1204" spans="1:21" ht="15.6">
      <c r="A1204" s="39"/>
      <c r="B1204" s="39"/>
      <c r="C1204" s="39"/>
      <c r="D1204" s="39"/>
      <c r="E1204" s="39"/>
      <c r="F1204" s="49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</row>
    <row r="1205" spans="1:21" ht="15.6">
      <c r="A1205" s="39"/>
      <c r="B1205" s="39"/>
      <c r="C1205" s="39"/>
      <c r="D1205" s="39"/>
      <c r="E1205" s="39"/>
      <c r="F1205" s="49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</row>
    <row r="1206" spans="1:21" ht="15.6">
      <c r="A1206" s="39"/>
      <c r="B1206" s="39"/>
      <c r="C1206" s="39"/>
      <c r="D1206" s="39"/>
      <c r="E1206" s="39"/>
      <c r="F1206" s="49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</row>
    <row r="1207" spans="1:21" ht="15.6">
      <c r="A1207" s="39"/>
      <c r="B1207" s="39"/>
      <c r="C1207" s="39"/>
      <c r="D1207" s="39"/>
      <c r="E1207" s="39"/>
      <c r="F1207" s="49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</row>
    <row r="1208" spans="1:21" ht="15.6">
      <c r="A1208" s="39"/>
      <c r="B1208" s="39"/>
      <c r="C1208" s="39"/>
      <c r="D1208" s="39"/>
      <c r="E1208" s="39"/>
      <c r="F1208" s="49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</row>
    <row r="1209" spans="1:21" ht="15.6">
      <c r="A1209" s="39"/>
      <c r="B1209" s="39"/>
      <c r="C1209" s="39"/>
      <c r="D1209" s="39"/>
      <c r="E1209" s="39"/>
      <c r="F1209" s="49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</row>
    <row r="1210" spans="1:21" ht="15.6">
      <c r="A1210" s="39"/>
      <c r="B1210" s="39"/>
      <c r="C1210" s="39"/>
      <c r="D1210" s="39"/>
      <c r="E1210" s="39"/>
      <c r="F1210" s="49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</row>
    <row r="1211" spans="1:21" ht="15.6">
      <c r="A1211" s="39"/>
      <c r="B1211" s="39"/>
      <c r="C1211" s="39"/>
      <c r="D1211" s="39"/>
      <c r="E1211" s="39"/>
      <c r="F1211" s="49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</row>
    <row r="1212" spans="1:21" ht="15.6">
      <c r="A1212" s="39"/>
      <c r="B1212" s="39"/>
      <c r="C1212" s="39"/>
      <c r="D1212" s="39"/>
      <c r="E1212" s="39"/>
      <c r="F1212" s="49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</row>
    <row r="1213" spans="1:21" ht="15.6">
      <c r="A1213" s="39"/>
      <c r="B1213" s="39"/>
      <c r="C1213" s="39"/>
      <c r="D1213" s="39"/>
      <c r="E1213" s="39"/>
      <c r="F1213" s="49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</row>
    <row r="1214" spans="1:21" ht="15.6">
      <c r="A1214" s="39"/>
      <c r="B1214" s="39"/>
      <c r="C1214" s="39"/>
      <c r="D1214" s="39"/>
      <c r="E1214" s="39"/>
      <c r="F1214" s="49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</row>
    <row r="1215" spans="1:21" ht="15.6">
      <c r="A1215" s="39"/>
      <c r="B1215" s="39"/>
      <c r="C1215" s="39"/>
      <c r="D1215" s="39"/>
      <c r="E1215" s="39"/>
      <c r="F1215" s="49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</row>
    <row r="1216" spans="1:21" ht="15.6">
      <c r="A1216" s="39"/>
      <c r="B1216" s="39"/>
      <c r="C1216" s="39"/>
      <c r="D1216" s="39"/>
      <c r="E1216" s="39"/>
      <c r="F1216" s="49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</row>
    <row r="1217" spans="1:21" ht="15.6">
      <c r="A1217" s="39"/>
      <c r="B1217" s="39"/>
      <c r="C1217" s="39"/>
      <c r="D1217" s="39"/>
      <c r="E1217" s="39"/>
      <c r="F1217" s="49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</row>
    <row r="1218" spans="1:21" ht="15.6">
      <c r="A1218" s="39"/>
      <c r="B1218" s="39"/>
      <c r="C1218" s="39"/>
      <c r="D1218" s="39"/>
      <c r="E1218" s="39"/>
      <c r="F1218" s="49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</row>
    <row r="1219" spans="1:21" ht="15.6">
      <c r="A1219" s="39"/>
      <c r="B1219" s="39"/>
      <c r="C1219" s="39"/>
      <c r="D1219" s="39"/>
      <c r="E1219" s="39"/>
      <c r="F1219" s="49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</row>
    <row r="1220" spans="1:21" ht="15.6">
      <c r="A1220" s="39"/>
      <c r="B1220" s="39"/>
      <c r="C1220" s="39"/>
      <c r="D1220" s="39"/>
      <c r="E1220" s="39"/>
      <c r="F1220" s="49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</row>
    <row r="1221" spans="1:21" ht="15.6">
      <c r="A1221" s="39"/>
      <c r="B1221" s="39"/>
      <c r="C1221" s="39"/>
      <c r="D1221" s="39"/>
      <c r="E1221" s="39"/>
      <c r="F1221" s="49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</row>
    <row r="1222" spans="1:21" ht="15.6">
      <c r="A1222" s="39"/>
      <c r="B1222" s="39"/>
      <c r="C1222" s="39"/>
      <c r="D1222" s="39"/>
      <c r="E1222" s="39"/>
      <c r="F1222" s="49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</row>
    <row r="1223" spans="1:21" ht="15.6">
      <c r="A1223" s="39"/>
      <c r="B1223" s="39"/>
      <c r="C1223" s="39"/>
      <c r="D1223" s="39"/>
      <c r="E1223" s="39"/>
      <c r="F1223" s="49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</row>
    <row r="1224" spans="1:21" ht="15.6">
      <c r="A1224" s="39"/>
      <c r="B1224" s="39"/>
      <c r="C1224" s="39"/>
      <c r="D1224" s="39"/>
      <c r="E1224" s="39"/>
      <c r="F1224" s="49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</row>
    <row r="1225" spans="1:21" ht="15.6">
      <c r="A1225" s="39"/>
      <c r="B1225" s="39"/>
      <c r="C1225" s="39"/>
      <c r="D1225" s="39"/>
      <c r="E1225" s="39"/>
      <c r="F1225" s="49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</row>
    <row r="1226" spans="1:21" ht="15.6">
      <c r="A1226" s="39"/>
      <c r="B1226" s="39"/>
      <c r="C1226" s="39"/>
      <c r="D1226" s="39"/>
      <c r="E1226" s="39"/>
      <c r="F1226" s="49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</row>
    <row r="1227" spans="1:21" ht="15.6">
      <c r="A1227" s="39"/>
      <c r="B1227" s="39"/>
      <c r="C1227" s="39"/>
      <c r="D1227" s="39"/>
      <c r="E1227" s="39"/>
      <c r="F1227" s="49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</row>
    <row r="1228" spans="1:21" ht="15.6">
      <c r="A1228" s="39"/>
      <c r="B1228" s="39"/>
      <c r="C1228" s="39"/>
      <c r="D1228" s="39"/>
      <c r="E1228" s="39"/>
      <c r="F1228" s="49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</row>
    <row r="1229" spans="1:21" ht="15.6">
      <c r="A1229" s="39"/>
      <c r="B1229" s="39"/>
      <c r="C1229" s="39"/>
      <c r="D1229" s="39"/>
      <c r="E1229" s="39"/>
      <c r="F1229" s="49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</row>
    <row r="1230" spans="1:21" ht="15.6">
      <c r="A1230" s="39"/>
      <c r="B1230" s="39"/>
      <c r="C1230" s="39"/>
      <c r="D1230" s="39"/>
      <c r="E1230" s="39"/>
      <c r="F1230" s="49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</row>
    <row r="1231" spans="1:21" ht="15.6">
      <c r="A1231" s="39"/>
      <c r="B1231" s="39"/>
      <c r="C1231" s="39"/>
      <c r="D1231" s="39"/>
      <c r="E1231" s="39"/>
      <c r="F1231" s="49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</row>
    <row r="1232" spans="1:21" ht="15.6">
      <c r="A1232" s="39"/>
      <c r="B1232" s="39"/>
      <c r="C1232" s="39"/>
      <c r="D1232" s="39"/>
      <c r="E1232" s="39"/>
      <c r="F1232" s="49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</row>
    <row r="1233" spans="1:21" ht="15.6">
      <c r="A1233" s="39"/>
      <c r="B1233" s="39"/>
      <c r="C1233" s="39"/>
      <c r="D1233" s="39"/>
      <c r="E1233" s="39"/>
      <c r="F1233" s="49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</row>
    <row r="1234" spans="1:21" ht="15.6">
      <c r="A1234" s="39"/>
      <c r="B1234" s="39"/>
      <c r="C1234" s="39"/>
      <c r="D1234" s="39"/>
      <c r="E1234" s="39"/>
      <c r="F1234" s="49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</row>
    <row r="1235" spans="1:21" ht="15.6">
      <c r="A1235" s="39"/>
      <c r="B1235" s="39"/>
      <c r="C1235" s="39"/>
      <c r="D1235" s="39"/>
      <c r="E1235" s="39"/>
      <c r="F1235" s="49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</row>
    <row r="1236" spans="1:21" ht="15.6">
      <c r="A1236" s="39"/>
      <c r="B1236" s="39"/>
      <c r="C1236" s="39"/>
      <c r="D1236" s="39"/>
      <c r="E1236" s="39"/>
      <c r="F1236" s="49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</row>
    <row r="1237" spans="1:21" ht="15.6">
      <c r="A1237" s="39"/>
      <c r="B1237" s="39"/>
      <c r="C1237" s="39"/>
      <c r="D1237" s="39"/>
      <c r="E1237" s="39"/>
      <c r="F1237" s="49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</row>
    <row r="1238" spans="1:21" ht="15.6">
      <c r="A1238" s="39"/>
      <c r="B1238" s="39"/>
      <c r="C1238" s="39"/>
      <c r="D1238" s="39"/>
      <c r="E1238" s="39"/>
      <c r="F1238" s="49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</row>
    <row r="1239" spans="1:21" ht="15.6">
      <c r="A1239" s="39"/>
      <c r="B1239" s="39"/>
      <c r="C1239" s="39"/>
      <c r="D1239" s="39"/>
      <c r="E1239" s="39"/>
      <c r="F1239" s="49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</row>
    <row r="1240" spans="1:21" ht="15.6">
      <c r="A1240" s="39"/>
      <c r="B1240" s="39"/>
      <c r="C1240" s="39"/>
      <c r="D1240" s="39"/>
      <c r="E1240" s="39"/>
      <c r="F1240" s="49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</row>
    <row r="1241" spans="1:21" ht="15.6">
      <c r="A1241" s="39"/>
      <c r="B1241" s="39"/>
      <c r="C1241" s="39"/>
      <c r="D1241" s="39"/>
      <c r="E1241" s="39"/>
      <c r="F1241" s="49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</row>
    <row r="1242" spans="1:21" ht="15.6">
      <c r="A1242" s="39"/>
      <c r="B1242" s="39"/>
      <c r="C1242" s="39"/>
      <c r="D1242" s="39"/>
      <c r="E1242" s="39"/>
      <c r="F1242" s="49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</row>
    <row r="1243" spans="1:21" ht="15.6">
      <c r="A1243" s="39"/>
      <c r="B1243" s="39"/>
      <c r="C1243" s="39"/>
      <c r="D1243" s="39"/>
      <c r="E1243" s="39"/>
      <c r="F1243" s="49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</row>
    <row r="1244" spans="1:21" ht="15.6">
      <c r="A1244" s="39"/>
      <c r="B1244" s="39"/>
      <c r="C1244" s="39"/>
      <c r="D1244" s="39"/>
      <c r="E1244" s="39"/>
      <c r="F1244" s="49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</row>
    <row r="1245" spans="1:21" ht="15.6">
      <c r="A1245" s="39"/>
      <c r="B1245" s="39"/>
      <c r="C1245" s="39"/>
      <c r="D1245" s="39"/>
      <c r="E1245" s="39"/>
      <c r="F1245" s="49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</row>
    <row r="1246" spans="1:21" ht="15.6">
      <c r="A1246" s="39"/>
      <c r="B1246" s="39"/>
      <c r="C1246" s="39"/>
      <c r="D1246" s="39"/>
      <c r="E1246" s="39"/>
      <c r="F1246" s="49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</row>
    <row r="1247" spans="1:21" ht="15.6">
      <c r="A1247" s="39"/>
      <c r="B1247" s="39"/>
      <c r="C1247" s="39"/>
      <c r="D1247" s="39"/>
      <c r="E1247" s="39"/>
      <c r="F1247" s="49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</row>
    <row r="1248" spans="1:21" ht="15.6">
      <c r="A1248" s="39"/>
      <c r="B1248" s="39"/>
      <c r="C1248" s="39"/>
      <c r="D1248" s="39"/>
      <c r="E1248" s="39"/>
      <c r="F1248" s="49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</row>
    <row r="1249" spans="1:21" ht="15.6">
      <c r="A1249" s="39"/>
      <c r="B1249" s="39"/>
      <c r="C1249" s="39"/>
      <c r="D1249" s="39"/>
      <c r="E1249" s="39"/>
      <c r="F1249" s="49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</row>
    <row r="1250" spans="1:21" ht="15.6">
      <c r="A1250" s="39"/>
      <c r="B1250" s="39"/>
      <c r="C1250" s="39"/>
      <c r="D1250" s="39"/>
      <c r="E1250" s="39"/>
      <c r="F1250" s="49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</row>
    <row r="1251" spans="1:21" ht="15.6">
      <c r="A1251" s="39"/>
      <c r="B1251" s="39"/>
      <c r="C1251" s="39"/>
      <c r="D1251" s="39"/>
      <c r="E1251" s="39"/>
      <c r="F1251" s="49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</row>
    <row r="1252" spans="1:21" ht="15.6">
      <c r="A1252" s="39"/>
      <c r="B1252" s="39"/>
      <c r="C1252" s="39"/>
      <c r="D1252" s="39"/>
      <c r="E1252" s="39"/>
      <c r="F1252" s="49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</row>
    <row r="1253" spans="1:21" ht="15.6">
      <c r="A1253" s="39"/>
      <c r="B1253" s="39"/>
      <c r="C1253" s="39"/>
      <c r="D1253" s="39"/>
      <c r="E1253" s="39"/>
      <c r="F1253" s="49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</row>
    <row r="1254" spans="1:21" ht="15.6">
      <c r="A1254" s="39"/>
      <c r="B1254" s="39"/>
      <c r="C1254" s="39"/>
      <c r="D1254" s="39"/>
      <c r="E1254" s="39"/>
      <c r="F1254" s="49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</row>
    <row r="1255" spans="1:21" ht="15.6">
      <c r="A1255" s="39"/>
      <c r="B1255" s="39"/>
      <c r="C1255" s="39"/>
      <c r="D1255" s="39"/>
      <c r="E1255" s="39"/>
      <c r="F1255" s="49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</row>
    <row r="1256" spans="1:21" ht="15.6">
      <c r="A1256" s="39"/>
      <c r="B1256" s="39"/>
      <c r="C1256" s="39"/>
      <c r="D1256" s="39"/>
      <c r="E1256" s="39"/>
      <c r="F1256" s="49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</row>
    <row r="1257" spans="1:21" ht="15.6">
      <c r="A1257" s="39"/>
      <c r="B1257" s="39"/>
      <c r="C1257" s="39"/>
      <c r="D1257" s="39"/>
      <c r="E1257" s="39"/>
      <c r="F1257" s="49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</row>
    <row r="1258" spans="1:21" ht="15.6">
      <c r="A1258" s="39"/>
      <c r="B1258" s="39"/>
      <c r="C1258" s="39"/>
      <c r="D1258" s="39"/>
      <c r="E1258" s="39"/>
      <c r="F1258" s="49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</row>
    <row r="1259" spans="1:21" ht="15.6">
      <c r="A1259" s="39"/>
      <c r="B1259" s="39"/>
      <c r="C1259" s="39"/>
      <c r="D1259" s="39"/>
      <c r="E1259" s="39"/>
      <c r="F1259" s="49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</row>
    <row r="1260" spans="1:21" ht="15.6">
      <c r="A1260" s="39"/>
      <c r="B1260" s="39"/>
      <c r="C1260" s="39"/>
      <c r="D1260" s="39"/>
      <c r="E1260" s="39"/>
      <c r="F1260" s="49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</row>
    <row r="1261" spans="1:21" ht="15.6">
      <c r="A1261" s="39"/>
      <c r="B1261" s="39"/>
      <c r="C1261" s="39"/>
      <c r="D1261" s="39"/>
      <c r="E1261" s="39"/>
      <c r="F1261" s="49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</row>
    <row r="1262" spans="1:21" ht="15.6">
      <c r="A1262" s="39"/>
      <c r="B1262" s="39"/>
      <c r="C1262" s="39"/>
      <c r="D1262" s="39"/>
      <c r="E1262" s="39"/>
      <c r="F1262" s="49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</row>
    <row r="1263" spans="1:21" ht="15.6">
      <c r="A1263" s="39"/>
      <c r="B1263" s="39"/>
      <c r="C1263" s="39"/>
      <c r="D1263" s="39"/>
      <c r="E1263" s="39"/>
      <c r="F1263" s="49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</row>
    <row r="1264" spans="1:21" ht="15.6">
      <c r="A1264" s="39"/>
      <c r="B1264" s="39"/>
      <c r="C1264" s="39"/>
      <c r="D1264" s="39"/>
      <c r="E1264" s="39"/>
      <c r="F1264" s="49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</row>
    <row r="1265" spans="1:21" ht="15.6">
      <c r="A1265" s="39"/>
      <c r="B1265" s="39"/>
      <c r="C1265" s="39"/>
      <c r="D1265" s="39"/>
      <c r="E1265" s="39"/>
      <c r="F1265" s="49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</row>
    <row r="1266" spans="1:21" ht="15.6">
      <c r="A1266" s="39"/>
      <c r="B1266" s="39"/>
      <c r="C1266" s="39"/>
      <c r="D1266" s="39"/>
      <c r="E1266" s="39"/>
      <c r="F1266" s="49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</row>
    <row r="1267" spans="1:21" ht="15.6">
      <c r="A1267" s="39"/>
      <c r="B1267" s="39"/>
      <c r="C1267" s="39"/>
      <c r="D1267" s="39"/>
      <c r="E1267" s="39"/>
      <c r="F1267" s="49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</row>
    <row r="1268" spans="1:21" ht="15.6">
      <c r="A1268" s="39"/>
      <c r="B1268" s="39"/>
      <c r="C1268" s="39"/>
      <c r="D1268" s="39"/>
      <c r="E1268" s="39"/>
      <c r="F1268" s="49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</row>
    <row r="1269" spans="1:21" ht="15.6">
      <c r="A1269" s="39"/>
      <c r="B1269" s="39"/>
      <c r="C1269" s="39"/>
      <c r="D1269" s="39"/>
      <c r="E1269" s="39"/>
      <c r="F1269" s="49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</row>
    <row r="1270" spans="1:21" ht="15.6">
      <c r="A1270" s="39"/>
      <c r="B1270" s="39"/>
      <c r="C1270" s="39"/>
      <c r="D1270" s="39"/>
      <c r="E1270" s="39"/>
      <c r="F1270" s="49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</row>
    <row r="1271" spans="1:21" ht="15.6">
      <c r="A1271" s="39"/>
      <c r="B1271" s="39"/>
      <c r="C1271" s="39"/>
      <c r="D1271" s="39"/>
      <c r="E1271" s="39"/>
      <c r="F1271" s="49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</row>
    <row r="1272" spans="1:21" ht="15.6">
      <c r="A1272" s="39"/>
      <c r="B1272" s="39"/>
      <c r="C1272" s="39"/>
      <c r="D1272" s="39"/>
      <c r="E1272" s="39"/>
      <c r="F1272" s="49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</row>
    <row r="1273" spans="1:21" ht="15.6">
      <c r="A1273" s="39"/>
      <c r="B1273" s="39"/>
      <c r="C1273" s="39"/>
      <c r="D1273" s="39"/>
      <c r="E1273" s="39"/>
      <c r="F1273" s="49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</row>
    <row r="1274" spans="1:21" ht="15.6">
      <c r="A1274" s="39"/>
      <c r="B1274" s="39"/>
      <c r="C1274" s="39"/>
      <c r="D1274" s="39"/>
      <c r="E1274" s="39"/>
      <c r="F1274" s="49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</row>
    <row r="1275" spans="1:21" ht="15.6">
      <c r="A1275" s="39"/>
      <c r="B1275" s="39"/>
      <c r="C1275" s="39"/>
      <c r="D1275" s="39"/>
      <c r="E1275" s="39"/>
      <c r="F1275" s="49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</row>
    <row r="1276" spans="1:21" ht="15.6">
      <c r="A1276" s="39"/>
      <c r="B1276" s="39"/>
      <c r="C1276" s="39"/>
      <c r="D1276" s="39"/>
      <c r="E1276" s="39"/>
      <c r="F1276" s="49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</row>
    <row r="1277" spans="1:21" ht="15.6">
      <c r="A1277" s="39"/>
      <c r="B1277" s="39"/>
      <c r="C1277" s="39"/>
      <c r="D1277" s="39"/>
      <c r="E1277" s="39"/>
      <c r="F1277" s="49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</row>
    <row r="1278" spans="1:21" ht="15.6">
      <c r="A1278" s="39"/>
      <c r="B1278" s="39"/>
      <c r="C1278" s="39"/>
      <c r="D1278" s="39"/>
      <c r="E1278" s="39"/>
      <c r="F1278" s="49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</row>
    <row r="1279" spans="1:21" ht="15.6">
      <c r="A1279" s="39"/>
      <c r="B1279" s="39"/>
      <c r="C1279" s="39"/>
      <c r="D1279" s="39"/>
      <c r="E1279" s="39"/>
      <c r="F1279" s="49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</row>
    <row r="1280" spans="1:21" ht="15.6">
      <c r="A1280" s="39"/>
      <c r="B1280" s="39"/>
      <c r="C1280" s="39"/>
      <c r="D1280" s="39"/>
      <c r="E1280" s="39"/>
      <c r="F1280" s="49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</row>
    <row r="1281" spans="1:21" ht="15.6">
      <c r="A1281" s="39"/>
      <c r="B1281" s="39"/>
      <c r="C1281" s="39"/>
      <c r="D1281" s="39"/>
      <c r="E1281" s="39"/>
      <c r="F1281" s="49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</row>
    <row r="1282" spans="1:21" ht="15.6">
      <c r="A1282" s="39"/>
      <c r="B1282" s="39"/>
      <c r="C1282" s="39"/>
      <c r="D1282" s="39"/>
      <c r="E1282" s="39"/>
      <c r="F1282" s="49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</row>
    <row r="1283" spans="1:21" ht="15.6">
      <c r="A1283" s="39"/>
      <c r="B1283" s="39"/>
      <c r="C1283" s="39"/>
      <c r="D1283" s="39"/>
      <c r="E1283" s="39"/>
      <c r="F1283" s="49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</row>
    <row r="1284" spans="1:21" ht="15.6">
      <c r="A1284" s="39"/>
      <c r="B1284" s="39"/>
      <c r="C1284" s="39"/>
      <c r="D1284" s="39"/>
      <c r="E1284" s="39"/>
      <c r="F1284" s="49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</row>
    <row r="1285" spans="1:21" ht="15.6">
      <c r="A1285" s="39"/>
      <c r="B1285" s="39"/>
      <c r="C1285" s="39"/>
      <c r="D1285" s="39"/>
      <c r="E1285" s="39"/>
      <c r="F1285" s="49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</row>
    <row r="1286" spans="1:21" ht="15.6">
      <c r="A1286" s="39"/>
      <c r="B1286" s="39"/>
      <c r="C1286" s="39"/>
      <c r="D1286" s="39"/>
      <c r="E1286" s="39"/>
      <c r="F1286" s="49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</row>
    <row r="1287" spans="1:21" ht="15.6">
      <c r="A1287" s="39"/>
      <c r="B1287" s="39"/>
      <c r="C1287" s="39"/>
      <c r="D1287" s="39"/>
      <c r="E1287" s="39"/>
      <c r="F1287" s="49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</row>
    <row r="1288" spans="1:21" ht="15.6">
      <c r="A1288" s="39"/>
      <c r="B1288" s="39"/>
      <c r="C1288" s="39"/>
      <c r="D1288" s="39"/>
      <c r="E1288" s="39"/>
      <c r="F1288" s="49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</row>
    <row r="1289" spans="1:21" ht="15.6">
      <c r="A1289" s="39"/>
      <c r="B1289" s="39"/>
      <c r="C1289" s="39"/>
      <c r="D1289" s="39"/>
      <c r="E1289" s="39"/>
      <c r="F1289" s="49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</row>
    <row r="1290" spans="1:21" ht="15.6">
      <c r="A1290" s="39"/>
      <c r="B1290" s="39"/>
      <c r="C1290" s="39"/>
      <c r="D1290" s="39"/>
      <c r="E1290" s="39"/>
      <c r="F1290" s="49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</row>
    <row r="1291" spans="1:21" ht="15.6">
      <c r="A1291" s="39"/>
      <c r="B1291" s="39"/>
      <c r="C1291" s="39"/>
      <c r="D1291" s="39"/>
      <c r="E1291" s="39"/>
      <c r="F1291" s="49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</row>
    <row r="1292" spans="1:21" ht="15.6">
      <c r="A1292" s="39"/>
      <c r="B1292" s="39"/>
      <c r="C1292" s="39"/>
      <c r="D1292" s="39"/>
      <c r="E1292" s="39"/>
      <c r="F1292" s="49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</row>
    <row r="1293" spans="1:21" ht="15.6">
      <c r="A1293" s="39"/>
      <c r="B1293" s="39"/>
      <c r="C1293" s="39"/>
      <c r="D1293" s="39"/>
      <c r="E1293" s="39"/>
      <c r="F1293" s="49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</row>
    <row r="1294" spans="1:21" ht="15.6">
      <c r="A1294" s="39"/>
      <c r="B1294" s="39"/>
      <c r="C1294" s="39"/>
      <c r="D1294" s="39"/>
      <c r="E1294" s="39"/>
      <c r="F1294" s="49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</row>
    <row r="1295" spans="1:21" ht="15.6">
      <c r="A1295" s="39"/>
      <c r="B1295" s="39"/>
      <c r="C1295" s="39"/>
      <c r="D1295" s="39"/>
      <c r="E1295" s="39"/>
      <c r="F1295" s="49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</row>
    <row r="1296" spans="1:21" ht="15.6">
      <c r="A1296" s="39"/>
      <c r="B1296" s="39"/>
      <c r="C1296" s="39"/>
      <c r="D1296" s="39"/>
      <c r="E1296" s="39"/>
      <c r="F1296" s="49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</row>
    <row r="1297" spans="1:21" ht="15.6">
      <c r="A1297" s="39"/>
      <c r="B1297" s="39"/>
      <c r="C1297" s="39"/>
      <c r="D1297" s="39"/>
      <c r="E1297" s="39"/>
      <c r="F1297" s="49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</row>
    <row r="1298" spans="1:21" ht="15.6">
      <c r="A1298" s="39"/>
      <c r="B1298" s="39"/>
      <c r="C1298" s="39"/>
      <c r="D1298" s="39"/>
      <c r="E1298" s="39"/>
      <c r="F1298" s="49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</row>
    <row r="1299" spans="1:21" ht="15.6">
      <c r="A1299" s="39"/>
      <c r="B1299" s="39"/>
      <c r="C1299" s="39"/>
      <c r="D1299" s="39"/>
      <c r="E1299" s="39"/>
      <c r="F1299" s="49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</row>
    <row r="1300" spans="1:21" ht="15.6">
      <c r="A1300" s="39"/>
      <c r="B1300" s="39"/>
      <c r="C1300" s="39"/>
      <c r="D1300" s="39"/>
      <c r="E1300" s="39"/>
      <c r="F1300" s="49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</row>
    <row r="1301" spans="1:21" ht="15.6">
      <c r="A1301" s="39"/>
      <c r="B1301" s="39"/>
      <c r="C1301" s="39"/>
      <c r="D1301" s="39"/>
      <c r="E1301" s="39"/>
      <c r="F1301" s="49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</row>
    <row r="1302" spans="1:21" ht="15.6">
      <c r="A1302" s="39"/>
      <c r="B1302" s="39"/>
      <c r="C1302" s="39"/>
      <c r="D1302" s="39"/>
      <c r="E1302" s="39"/>
      <c r="F1302" s="49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</row>
    <row r="1303" spans="1:21" ht="15.6">
      <c r="A1303" s="39"/>
      <c r="B1303" s="39"/>
      <c r="C1303" s="39"/>
      <c r="D1303" s="39"/>
      <c r="E1303" s="39"/>
      <c r="F1303" s="49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</row>
    <row r="1304" spans="1:21" ht="15.6">
      <c r="A1304" s="39"/>
      <c r="B1304" s="39"/>
      <c r="C1304" s="39"/>
      <c r="D1304" s="39"/>
      <c r="E1304" s="39"/>
      <c r="F1304" s="49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</row>
    <row r="1305" spans="1:21" ht="15.6">
      <c r="A1305" s="39"/>
      <c r="B1305" s="39"/>
      <c r="C1305" s="39"/>
      <c r="D1305" s="39"/>
      <c r="E1305" s="39"/>
      <c r="F1305" s="49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</row>
    <row r="1306" spans="1:21" ht="15.6">
      <c r="A1306" s="39"/>
      <c r="B1306" s="39"/>
      <c r="C1306" s="39"/>
      <c r="D1306" s="39"/>
      <c r="E1306" s="39"/>
      <c r="F1306" s="49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</row>
    <row r="1307" spans="1:21" ht="15.6">
      <c r="A1307" s="39"/>
      <c r="B1307" s="39"/>
      <c r="C1307" s="39"/>
      <c r="D1307" s="39"/>
      <c r="E1307" s="39"/>
      <c r="F1307" s="49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</row>
    <row r="1308" spans="1:21" ht="15.6">
      <c r="A1308" s="39"/>
      <c r="B1308" s="39"/>
      <c r="C1308" s="39"/>
      <c r="D1308" s="39"/>
      <c r="E1308" s="39"/>
      <c r="F1308" s="49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</row>
    <row r="1309" spans="1:21" ht="15.6">
      <c r="A1309" s="39"/>
      <c r="B1309" s="39"/>
      <c r="C1309" s="39"/>
      <c r="D1309" s="39"/>
      <c r="E1309" s="39"/>
      <c r="F1309" s="49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</row>
    <row r="1310" spans="1:21" ht="15.6">
      <c r="A1310" s="39"/>
      <c r="B1310" s="39"/>
      <c r="C1310" s="39"/>
      <c r="D1310" s="39"/>
      <c r="E1310" s="39"/>
      <c r="F1310" s="49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</row>
    <row r="1311" spans="1:21" ht="15.6">
      <c r="A1311" s="39"/>
      <c r="B1311" s="39"/>
      <c r="C1311" s="39"/>
      <c r="D1311" s="39"/>
      <c r="E1311" s="39"/>
      <c r="F1311" s="49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</row>
    <row r="1312" spans="1:21" ht="15.6">
      <c r="A1312" s="39"/>
      <c r="B1312" s="39"/>
      <c r="C1312" s="39"/>
      <c r="D1312" s="39"/>
      <c r="E1312" s="39"/>
      <c r="F1312" s="49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</row>
    <row r="1313" spans="1:21" ht="15.6">
      <c r="A1313" s="39"/>
      <c r="B1313" s="39"/>
      <c r="C1313" s="39"/>
      <c r="D1313" s="39"/>
      <c r="E1313" s="39"/>
      <c r="F1313" s="49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</row>
    <row r="1314" spans="1:21" ht="15.6">
      <c r="A1314" s="39"/>
      <c r="B1314" s="39"/>
      <c r="C1314" s="39"/>
      <c r="D1314" s="39"/>
      <c r="E1314" s="39"/>
      <c r="F1314" s="49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</row>
    <row r="1315" spans="1:21" ht="15.6">
      <c r="A1315" s="39"/>
      <c r="B1315" s="39"/>
      <c r="C1315" s="39"/>
      <c r="D1315" s="39"/>
      <c r="E1315" s="39"/>
      <c r="F1315" s="49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</row>
    <row r="1316" spans="1:21" ht="15.6">
      <c r="A1316" s="39"/>
      <c r="B1316" s="39"/>
      <c r="C1316" s="39"/>
      <c r="D1316" s="39"/>
      <c r="E1316" s="39"/>
      <c r="F1316" s="49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</row>
    <row r="1317" spans="1:21" ht="15.6">
      <c r="A1317" s="39"/>
      <c r="B1317" s="39"/>
      <c r="C1317" s="39"/>
      <c r="D1317" s="39"/>
      <c r="E1317" s="39"/>
      <c r="F1317" s="49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</row>
    <row r="1318" spans="1:21" ht="15.6">
      <c r="A1318" s="39"/>
      <c r="B1318" s="39"/>
      <c r="C1318" s="39"/>
      <c r="D1318" s="39"/>
      <c r="E1318" s="39"/>
      <c r="F1318" s="49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</row>
    <row r="1319" spans="1:21" ht="15.6">
      <c r="A1319" s="39"/>
      <c r="B1319" s="39"/>
      <c r="C1319" s="39"/>
      <c r="D1319" s="39"/>
      <c r="E1319" s="39"/>
      <c r="F1319" s="49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</row>
    <row r="1320" spans="1:21" ht="15.6">
      <c r="A1320" s="39"/>
      <c r="B1320" s="39"/>
      <c r="C1320" s="39"/>
      <c r="D1320" s="39"/>
      <c r="E1320" s="39"/>
      <c r="F1320" s="49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</row>
    <row r="1321" spans="1:21" ht="15.6">
      <c r="A1321" s="39"/>
      <c r="B1321" s="39"/>
      <c r="C1321" s="39"/>
      <c r="D1321" s="39"/>
      <c r="E1321" s="39"/>
      <c r="F1321" s="49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</row>
    <row r="1322" spans="1:21" ht="15.6">
      <c r="A1322" s="39"/>
      <c r="B1322" s="39"/>
      <c r="C1322" s="39"/>
      <c r="D1322" s="39"/>
      <c r="E1322" s="39"/>
      <c r="F1322" s="49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</row>
    <row r="1323" spans="1:21" ht="15.6">
      <c r="A1323" s="39"/>
      <c r="B1323" s="39"/>
      <c r="C1323" s="39"/>
      <c r="D1323" s="39"/>
      <c r="E1323" s="39"/>
      <c r="F1323" s="49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</row>
    <row r="1324" spans="1:21" ht="15.6">
      <c r="A1324" s="39"/>
      <c r="B1324" s="39"/>
      <c r="C1324" s="39"/>
      <c r="D1324" s="39"/>
      <c r="E1324" s="39"/>
      <c r="F1324" s="49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</row>
    <row r="1325" spans="1:21" ht="15.6">
      <c r="A1325" s="39"/>
      <c r="B1325" s="39"/>
      <c r="C1325" s="39"/>
      <c r="D1325" s="39"/>
      <c r="E1325" s="39"/>
      <c r="F1325" s="49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</row>
    <row r="1326" spans="1:21" ht="15.6">
      <c r="A1326" s="39"/>
      <c r="B1326" s="39"/>
      <c r="C1326" s="39"/>
      <c r="D1326" s="39"/>
      <c r="E1326" s="39"/>
      <c r="F1326" s="49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</row>
    <row r="1327" spans="1:21" ht="15.6">
      <c r="A1327" s="39"/>
      <c r="B1327" s="39"/>
      <c r="C1327" s="39"/>
      <c r="D1327" s="39"/>
      <c r="E1327" s="39"/>
      <c r="F1327" s="49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</row>
    <row r="1328" spans="1:21" ht="15.6">
      <c r="A1328" s="39"/>
      <c r="B1328" s="39"/>
      <c r="C1328" s="39"/>
      <c r="D1328" s="39"/>
      <c r="E1328" s="39"/>
      <c r="F1328" s="49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</row>
    <row r="1329" spans="1:21" ht="15.6">
      <c r="A1329" s="39"/>
      <c r="B1329" s="39"/>
      <c r="C1329" s="39"/>
      <c r="D1329" s="39"/>
      <c r="E1329" s="39"/>
      <c r="F1329" s="49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</row>
    <row r="1330" spans="1:21" ht="15.6">
      <c r="A1330" s="39"/>
      <c r="B1330" s="39"/>
      <c r="C1330" s="39"/>
      <c r="D1330" s="39"/>
      <c r="E1330" s="39"/>
      <c r="F1330" s="49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</row>
    <row r="1331" spans="1:21" ht="15.6">
      <c r="A1331" s="39"/>
      <c r="B1331" s="39"/>
      <c r="C1331" s="39"/>
      <c r="D1331" s="39"/>
      <c r="E1331" s="39"/>
      <c r="F1331" s="49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</row>
    <row r="1332" spans="1:21" ht="15.6">
      <c r="A1332" s="39"/>
      <c r="B1332" s="39"/>
      <c r="C1332" s="39"/>
      <c r="D1332" s="39"/>
      <c r="E1332" s="39"/>
      <c r="F1332" s="49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</row>
    <row r="1333" spans="1:21" ht="15.6">
      <c r="A1333" s="39"/>
      <c r="B1333" s="39"/>
      <c r="C1333" s="39"/>
      <c r="D1333" s="39"/>
      <c r="E1333" s="39"/>
      <c r="F1333" s="49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</row>
    <row r="1334" spans="1:21" ht="15.6">
      <c r="A1334" s="39"/>
      <c r="B1334" s="39"/>
      <c r="C1334" s="39"/>
      <c r="D1334" s="39"/>
      <c r="E1334" s="39"/>
      <c r="F1334" s="49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</row>
    <row r="1335" spans="1:21" ht="15.6">
      <c r="A1335" s="39"/>
      <c r="B1335" s="39"/>
      <c r="C1335" s="39"/>
      <c r="D1335" s="39"/>
      <c r="E1335" s="39"/>
      <c r="F1335" s="49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</row>
    <row r="1336" spans="1:21" ht="15.6">
      <c r="A1336" s="39"/>
      <c r="B1336" s="39"/>
      <c r="C1336" s="39"/>
      <c r="D1336" s="39"/>
      <c r="E1336" s="39"/>
      <c r="F1336" s="49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</row>
    <row r="1337" spans="1:21" ht="15.6">
      <c r="A1337" s="39"/>
      <c r="B1337" s="39"/>
      <c r="C1337" s="39"/>
      <c r="D1337" s="39"/>
      <c r="E1337" s="39"/>
      <c r="F1337" s="49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</row>
    <row r="1338" spans="1:21" ht="15.6">
      <c r="A1338" s="39"/>
      <c r="B1338" s="39"/>
      <c r="C1338" s="39"/>
      <c r="D1338" s="39"/>
      <c r="E1338" s="39"/>
      <c r="F1338" s="49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</row>
    <row r="1339" spans="1:21" ht="15.6">
      <c r="A1339" s="39"/>
      <c r="B1339" s="39"/>
      <c r="C1339" s="39"/>
      <c r="D1339" s="39"/>
      <c r="E1339" s="39"/>
      <c r="F1339" s="49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</row>
    <row r="1340" spans="1:21" ht="15.6">
      <c r="A1340" s="39"/>
      <c r="B1340" s="39"/>
      <c r="C1340" s="39"/>
      <c r="D1340" s="39"/>
      <c r="E1340" s="39"/>
      <c r="F1340" s="49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</row>
    <row r="1341" spans="1:21" ht="15.6">
      <c r="A1341" s="39"/>
      <c r="B1341" s="39"/>
      <c r="C1341" s="39"/>
      <c r="D1341" s="39"/>
      <c r="E1341" s="39"/>
      <c r="F1341" s="49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</row>
    <row r="1342" spans="1:21" ht="15.6">
      <c r="A1342" s="39"/>
      <c r="B1342" s="39"/>
      <c r="C1342" s="39"/>
      <c r="D1342" s="39"/>
      <c r="E1342" s="39"/>
      <c r="F1342" s="49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</row>
    <row r="1343" spans="1:21" ht="15.6">
      <c r="A1343" s="39"/>
      <c r="B1343" s="39"/>
      <c r="C1343" s="39"/>
      <c r="D1343" s="39"/>
      <c r="E1343" s="39"/>
      <c r="F1343" s="49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</row>
    <row r="1344" spans="1:21" ht="15.6">
      <c r="A1344" s="39"/>
      <c r="B1344" s="39"/>
      <c r="C1344" s="39"/>
      <c r="D1344" s="39"/>
      <c r="E1344" s="39"/>
      <c r="F1344" s="49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</row>
    <row r="1345" spans="1:21" ht="15.6">
      <c r="A1345" s="39"/>
      <c r="B1345" s="39"/>
      <c r="C1345" s="39"/>
      <c r="D1345" s="39"/>
      <c r="E1345" s="39"/>
      <c r="F1345" s="49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</row>
    <row r="1346" spans="1:21" ht="15.6">
      <c r="A1346" s="39"/>
      <c r="B1346" s="39"/>
      <c r="C1346" s="39"/>
      <c r="D1346" s="39"/>
      <c r="E1346" s="39"/>
      <c r="F1346" s="49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</row>
    <row r="1347" spans="1:21" ht="15.6">
      <c r="A1347" s="39"/>
      <c r="B1347" s="39"/>
      <c r="C1347" s="39"/>
      <c r="D1347" s="39"/>
      <c r="E1347" s="39"/>
      <c r="F1347" s="49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</row>
    <row r="1348" spans="1:21" ht="15.6">
      <c r="A1348" s="39"/>
      <c r="B1348" s="39"/>
      <c r="C1348" s="39"/>
      <c r="D1348" s="39"/>
      <c r="E1348" s="39"/>
      <c r="F1348" s="49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</row>
    <row r="1349" spans="1:21" ht="15.6">
      <c r="A1349" s="39"/>
      <c r="B1349" s="39"/>
      <c r="C1349" s="39"/>
      <c r="D1349" s="39"/>
      <c r="E1349" s="39"/>
      <c r="F1349" s="49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</row>
    <row r="1350" spans="1:21" ht="15.6">
      <c r="A1350" s="39"/>
      <c r="B1350" s="39"/>
      <c r="C1350" s="39"/>
      <c r="D1350" s="39"/>
      <c r="E1350" s="39"/>
      <c r="F1350" s="49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</row>
    <row r="1351" spans="1:21" ht="15.6">
      <c r="A1351" s="39"/>
      <c r="B1351" s="39"/>
      <c r="C1351" s="39"/>
      <c r="D1351" s="39"/>
      <c r="E1351" s="39"/>
      <c r="F1351" s="49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</row>
    <row r="1352" spans="1:21" ht="15.6">
      <c r="A1352" s="39"/>
      <c r="B1352" s="39"/>
      <c r="C1352" s="39"/>
      <c r="D1352" s="39"/>
      <c r="E1352" s="39"/>
      <c r="F1352" s="49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</row>
    <row r="1353" spans="1:21" ht="15.6">
      <c r="A1353" s="39"/>
      <c r="B1353" s="39"/>
      <c r="C1353" s="39"/>
      <c r="D1353" s="39"/>
      <c r="E1353" s="39"/>
      <c r="F1353" s="49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</row>
    <row r="1354" spans="1:21" ht="15.6">
      <c r="A1354" s="39"/>
      <c r="B1354" s="39"/>
      <c r="C1354" s="39"/>
      <c r="D1354" s="39"/>
      <c r="E1354" s="39"/>
      <c r="F1354" s="49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</row>
    <row r="1355" spans="1:21" ht="15.6">
      <c r="A1355" s="39"/>
      <c r="B1355" s="39"/>
      <c r="C1355" s="39"/>
      <c r="D1355" s="39"/>
      <c r="E1355" s="39"/>
      <c r="F1355" s="49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</row>
    <row r="1356" spans="1:21" ht="15.6">
      <c r="A1356" s="39"/>
      <c r="B1356" s="39"/>
      <c r="C1356" s="39"/>
      <c r="D1356" s="39"/>
      <c r="E1356" s="39"/>
      <c r="F1356" s="49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</row>
    <row r="1357" spans="1:21" ht="15.6">
      <c r="A1357" s="39"/>
      <c r="B1357" s="39"/>
      <c r="C1357" s="39"/>
      <c r="D1357" s="39"/>
      <c r="E1357" s="39"/>
      <c r="F1357" s="49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</row>
    <row r="1358" spans="1:21" ht="15.6">
      <c r="A1358" s="39"/>
      <c r="B1358" s="39"/>
      <c r="C1358" s="39"/>
      <c r="D1358" s="39"/>
      <c r="E1358" s="39"/>
      <c r="F1358" s="49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</row>
    <row r="1359" spans="1:21" ht="15.6">
      <c r="A1359" s="39"/>
      <c r="B1359" s="39"/>
      <c r="C1359" s="39"/>
      <c r="D1359" s="39"/>
      <c r="E1359" s="39"/>
      <c r="F1359" s="49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</row>
    <row r="1360" spans="1:21" ht="15.6">
      <c r="A1360" s="39"/>
      <c r="B1360" s="39"/>
      <c r="C1360" s="39"/>
      <c r="D1360" s="39"/>
      <c r="E1360" s="39"/>
      <c r="F1360" s="49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</row>
    <row r="1361" spans="1:21" ht="15.6">
      <c r="A1361" s="39"/>
      <c r="B1361" s="39"/>
      <c r="C1361" s="39"/>
      <c r="D1361" s="39"/>
      <c r="E1361" s="39"/>
      <c r="F1361" s="49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</row>
    <row r="1362" spans="1:21" ht="15.6">
      <c r="A1362" s="39"/>
      <c r="B1362" s="39"/>
      <c r="C1362" s="39"/>
      <c r="D1362" s="39"/>
      <c r="E1362" s="39"/>
      <c r="F1362" s="49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</row>
    <row r="1363" spans="1:21" ht="15.6">
      <c r="A1363" s="39"/>
      <c r="B1363" s="39"/>
      <c r="C1363" s="39"/>
      <c r="D1363" s="39"/>
      <c r="E1363" s="39"/>
      <c r="F1363" s="49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</row>
    <row r="1364" spans="1:21" ht="15.6">
      <c r="A1364" s="39"/>
      <c r="B1364" s="39"/>
      <c r="C1364" s="39"/>
      <c r="D1364" s="39"/>
      <c r="E1364" s="39"/>
      <c r="F1364" s="49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</row>
    <row r="1365" spans="1:21" ht="15.6">
      <c r="A1365" s="39"/>
      <c r="B1365" s="39"/>
      <c r="C1365" s="39"/>
      <c r="D1365" s="39"/>
      <c r="E1365" s="39"/>
      <c r="F1365" s="49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</row>
    <row r="1366" spans="1:21" ht="15.6">
      <c r="A1366" s="39"/>
      <c r="B1366" s="39"/>
      <c r="C1366" s="39"/>
      <c r="D1366" s="39"/>
      <c r="E1366" s="39"/>
      <c r="F1366" s="49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</row>
    <row r="1367" spans="1:21" ht="15.6">
      <c r="A1367" s="39"/>
      <c r="B1367" s="39"/>
      <c r="C1367" s="39"/>
      <c r="D1367" s="39"/>
      <c r="E1367" s="39"/>
      <c r="F1367" s="49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</row>
    <row r="1368" spans="1:21" ht="15.6">
      <c r="A1368" s="39"/>
      <c r="B1368" s="39"/>
      <c r="C1368" s="39"/>
      <c r="D1368" s="39"/>
      <c r="E1368" s="39"/>
      <c r="F1368" s="49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</row>
    <row r="1369" spans="1:21" ht="15.6">
      <c r="A1369" s="39"/>
      <c r="B1369" s="39"/>
      <c r="C1369" s="39"/>
      <c r="D1369" s="39"/>
      <c r="E1369" s="39"/>
      <c r="F1369" s="49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</row>
    <row r="1370" spans="1:21" ht="15.6">
      <c r="A1370" s="39"/>
      <c r="B1370" s="39"/>
      <c r="C1370" s="39"/>
      <c r="D1370" s="39"/>
      <c r="E1370" s="39"/>
      <c r="F1370" s="49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</row>
    <row r="1371" spans="1:21" ht="15.6">
      <c r="A1371" s="39"/>
      <c r="B1371" s="39"/>
      <c r="C1371" s="39"/>
      <c r="D1371" s="39"/>
      <c r="E1371" s="39"/>
      <c r="F1371" s="49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</row>
    <row r="1372" spans="1:21" ht="15.6">
      <c r="A1372" s="39"/>
      <c r="B1372" s="39"/>
      <c r="C1372" s="39"/>
      <c r="D1372" s="39"/>
      <c r="E1372" s="39"/>
      <c r="F1372" s="49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</row>
    <row r="1373" spans="1:21" ht="15.6">
      <c r="A1373" s="39"/>
      <c r="B1373" s="39"/>
      <c r="C1373" s="39"/>
      <c r="D1373" s="39"/>
      <c r="E1373" s="39"/>
      <c r="F1373" s="49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</row>
    <row r="1374" spans="1:21" ht="15.6">
      <c r="A1374" s="39"/>
      <c r="B1374" s="39"/>
      <c r="C1374" s="39"/>
      <c r="D1374" s="39"/>
      <c r="E1374" s="39"/>
      <c r="F1374" s="49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</row>
    <row r="1375" spans="1:21" ht="15.6">
      <c r="A1375" s="39"/>
      <c r="B1375" s="39"/>
      <c r="C1375" s="39"/>
      <c r="D1375" s="39"/>
      <c r="E1375" s="39"/>
      <c r="F1375" s="49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</row>
    <row r="1376" spans="1:21" ht="15.6">
      <c r="A1376" s="39"/>
      <c r="B1376" s="39"/>
      <c r="C1376" s="39"/>
      <c r="D1376" s="39"/>
      <c r="E1376" s="39"/>
      <c r="F1376" s="49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</row>
    <row r="1377" spans="1:21" ht="15.6">
      <c r="A1377" s="39"/>
      <c r="B1377" s="39"/>
      <c r="C1377" s="39"/>
      <c r="D1377" s="39"/>
      <c r="E1377" s="39"/>
      <c r="F1377" s="49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</row>
    <row r="1378" spans="1:21" ht="15.6">
      <c r="A1378" s="39"/>
      <c r="B1378" s="39"/>
      <c r="C1378" s="39"/>
      <c r="D1378" s="39"/>
      <c r="E1378" s="39"/>
      <c r="F1378" s="49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</row>
    <row r="1379" spans="1:21" ht="15.6">
      <c r="A1379" s="39"/>
      <c r="B1379" s="39"/>
      <c r="C1379" s="39"/>
      <c r="D1379" s="39"/>
      <c r="E1379" s="39"/>
      <c r="F1379" s="49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</row>
    <row r="1380" spans="1:21" ht="15.6">
      <c r="A1380" s="39"/>
      <c r="B1380" s="39"/>
      <c r="C1380" s="39"/>
      <c r="D1380" s="39"/>
      <c r="E1380" s="39"/>
      <c r="F1380" s="49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</row>
    <row r="1381" spans="1:21" ht="15.6">
      <c r="A1381" s="39"/>
      <c r="B1381" s="39"/>
      <c r="C1381" s="39"/>
      <c r="D1381" s="39"/>
      <c r="E1381" s="39"/>
      <c r="F1381" s="49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</row>
    <row r="1382" spans="1:21" ht="15.6">
      <c r="A1382" s="39"/>
      <c r="B1382" s="39"/>
      <c r="C1382" s="39"/>
      <c r="D1382" s="39"/>
      <c r="E1382" s="39"/>
      <c r="F1382" s="49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</row>
    <row r="1383" spans="1:21" ht="15.6">
      <c r="A1383" s="39"/>
      <c r="B1383" s="39"/>
      <c r="C1383" s="39"/>
      <c r="D1383" s="39"/>
      <c r="E1383" s="39"/>
      <c r="F1383" s="49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</row>
    <row r="1384" spans="1:21" ht="15.6">
      <c r="A1384" s="39"/>
      <c r="B1384" s="39"/>
      <c r="C1384" s="39"/>
      <c r="D1384" s="39"/>
      <c r="E1384" s="39"/>
      <c r="F1384" s="49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</row>
    <row r="1385" spans="1:21" ht="15.6">
      <c r="A1385" s="39"/>
      <c r="B1385" s="39"/>
      <c r="C1385" s="39"/>
      <c r="D1385" s="39"/>
      <c r="E1385" s="39"/>
      <c r="F1385" s="49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</row>
    <row r="1386" spans="1:21" ht="15.6">
      <c r="A1386" s="39"/>
      <c r="B1386" s="39"/>
      <c r="C1386" s="39"/>
      <c r="D1386" s="39"/>
      <c r="E1386" s="39"/>
      <c r="F1386" s="49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</row>
    <row r="1387" spans="1:21" ht="15.6">
      <c r="A1387" s="39"/>
      <c r="B1387" s="39"/>
      <c r="C1387" s="39"/>
      <c r="D1387" s="39"/>
      <c r="E1387" s="39"/>
      <c r="F1387" s="49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</row>
    <row r="1388" spans="1:21" ht="15.6">
      <c r="A1388" s="39"/>
      <c r="B1388" s="39"/>
      <c r="C1388" s="39"/>
      <c r="D1388" s="39"/>
      <c r="E1388" s="39"/>
      <c r="F1388" s="49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</row>
    <row r="1389" spans="1:21" ht="15.6">
      <c r="A1389" s="39"/>
      <c r="B1389" s="39"/>
      <c r="C1389" s="39"/>
      <c r="D1389" s="39"/>
      <c r="E1389" s="39"/>
      <c r="F1389" s="49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</row>
    <row r="1390" spans="1:21" ht="15.6">
      <c r="A1390" s="39"/>
      <c r="B1390" s="39"/>
      <c r="C1390" s="39"/>
      <c r="D1390" s="39"/>
      <c r="E1390" s="39"/>
      <c r="F1390" s="49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</row>
    <row r="1391" spans="1:21" ht="15.6">
      <c r="A1391" s="39"/>
      <c r="B1391" s="39"/>
      <c r="C1391" s="39"/>
      <c r="D1391" s="39"/>
      <c r="E1391" s="39"/>
      <c r="F1391" s="49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</row>
    <row r="1392" spans="1:21" ht="15.6">
      <c r="A1392" s="39"/>
      <c r="B1392" s="39"/>
      <c r="C1392" s="39"/>
      <c r="D1392" s="39"/>
      <c r="E1392" s="39"/>
      <c r="F1392" s="49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</row>
    <row r="1393" spans="1:21" ht="15.6">
      <c r="A1393" s="39"/>
      <c r="B1393" s="39"/>
      <c r="C1393" s="39"/>
      <c r="D1393" s="39"/>
      <c r="E1393" s="39"/>
      <c r="F1393" s="49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</row>
    <row r="1394" spans="1:21" ht="15.6">
      <c r="A1394" s="39"/>
      <c r="B1394" s="39"/>
      <c r="C1394" s="39"/>
      <c r="D1394" s="39"/>
      <c r="E1394" s="39"/>
      <c r="F1394" s="49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</row>
    <row r="1395" spans="1:21" ht="15.6">
      <c r="A1395" s="39"/>
      <c r="B1395" s="39"/>
      <c r="C1395" s="39"/>
      <c r="D1395" s="39"/>
      <c r="E1395" s="39"/>
      <c r="F1395" s="49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</row>
    <row r="1396" spans="1:21" ht="15.6">
      <c r="A1396" s="39"/>
      <c r="B1396" s="39"/>
      <c r="C1396" s="39"/>
      <c r="D1396" s="39"/>
      <c r="E1396" s="39"/>
      <c r="F1396" s="49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</row>
    <row r="1397" spans="1:21" ht="15.6">
      <c r="A1397" s="39"/>
      <c r="B1397" s="39"/>
      <c r="C1397" s="39"/>
      <c r="D1397" s="39"/>
      <c r="E1397" s="39"/>
      <c r="F1397" s="49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</row>
    <row r="1398" spans="1:21" ht="15.6">
      <c r="A1398" s="39"/>
      <c r="B1398" s="39"/>
      <c r="C1398" s="39"/>
      <c r="D1398" s="39"/>
      <c r="E1398" s="39"/>
      <c r="F1398" s="49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</row>
    <row r="1399" spans="1:21" ht="15.6">
      <c r="A1399" s="39"/>
      <c r="B1399" s="39"/>
      <c r="C1399" s="39"/>
      <c r="D1399" s="39"/>
      <c r="E1399" s="39"/>
      <c r="F1399" s="49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</row>
    <row r="1400" spans="1:21" ht="15.6">
      <c r="A1400" s="39"/>
      <c r="B1400" s="39"/>
      <c r="C1400" s="39"/>
      <c r="D1400" s="39"/>
      <c r="E1400" s="39"/>
      <c r="F1400" s="49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</row>
    <row r="1401" spans="1:21" ht="15.6">
      <c r="A1401" s="39"/>
      <c r="B1401" s="39"/>
      <c r="C1401" s="39"/>
      <c r="D1401" s="39"/>
      <c r="E1401" s="39"/>
      <c r="F1401" s="49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</row>
    <row r="1402" spans="1:21" ht="15.6">
      <c r="A1402" s="39"/>
      <c r="B1402" s="39"/>
      <c r="C1402" s="39"/>
      <c r="D1402" s="39"/>
      <c r="E1402" s="39"/>
      <c r="F1402" s="49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</row>
    <row r="1403" spans="1:21" ht="15.6">
      <c r="A1403" s="39"/>
      <c r="B1403" s="39"/>
      <c r="C1403" s="39"/>
      <c r="D1403" s="39"/>
      <c r="E1403" s="39"/>
      <c r="F1403" s="49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</row>
    <row r="1404" spans="1:21" ht="15.6">
      <c r="A1404" s="39"/>
      <c r="B1404" s="39"/>
      <c r="C1404" s="39"/>
      <c r="D1404" s="39"/>
      <c r="E1404" s="39"/>
      <c r="F1404" s="49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</row>
    <row r="1405" spans="1:21" ht="15.6">
      <c r="A1405" s="39"/>
      <c r="B1405" s="39"/>
      <c r="C1405" s="39"/>
      <c r="D1405" s="39"/>
      <c r="E1405" s="39"/>
      <c r="F1405" s="49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</row>
    <row r="1406" spans="1:21" ht="15.6">
      <c r="A1406" s="39"/>
      <c r="B1406" s="39"/>
      <c r="C1406" s="39"/>
      <c r="D1406" s="39"/>
      <c r="E1406" s="39"/>
      <c r="F1406" s="49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</row>
    <row r="1407" spans="1:21" ht="15.6">
      <c r="A1407" s="39"/>
      <c r="B1407" s="39"/>
      <c r="C1407" s="39"/>
      <c r="D1407" s="39"/>
      <c r="E1407" s="39"/>
      <c r="F1407" s="49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</row>
    <row r="1408" spans="1:21" ht="15.6">
      <c r="A1408" s="39"/>
      <c r="B1408" s="39"/>
      <c r="C1408" s="39"/>
      <c r="D1408" s="39"/>
      <c r="E1408" s="39"/>
      <c r="F1408" s="49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</row>
    <row r="1409" spans="1:21" ht="15.6">
      <c r="A1409" s="39"/>
      <c r="B1409" s="39"/>
      <c r="C1409" s="39"/>
      <c r="D1409" s="39"/>
      <c r="E1409" s="39"/>
      <c r="F1409" s="49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</row>
    <row r="1410" spans="1:21" ht="15.6">
      <c r="A1410" s="39"/>
      <c r="B1410" s="39"/>
      <c r="C1410" s="39"/>
      <c r="D1410" s="39"/>
      <c r="E1410" s="39"/>
      <c r="F1410" s="49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</row>
    <row r="1411" spans="1:21" ht="15.6">
      <c r="A1411" s="39"/>
      <c r="B1411" s="39"/>
      <c r="C1411" s="39"/>
      <c r="D1411" s="39"/>
      <c r="E1411" s="39"/>
      <c r="F1411" s="49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</row>
    <row r="1412" spans="1:21" ht="15.6">
      <c r="A1412" s="39"/>
      <c r="B1412" s="39"/>
      <c r="C1412" s="39"/>
      <c r="D1412" s="39"/>
      <c r="E1412" s="39"/>
      <c r="F1412" s="49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</row>
    <row r="1413" spans="1:21" ht="15.6">
      <c r="A1413" s="39"/>
      <c r="B1413" s="39"/>
      <c r="C1413" s="39"/>
      <c r="D1413" s="39"/>
      <c r="E1413" s="39"/>
      <c r="F1413" s="49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</row>
    <row r="1414" spans="1:21" ht="15.6">
      <c r="A1414" s="39"/>
      <c r="B1414" s="39"/>
      <c r="C1414" s="39"/>
      <c r="D1414" s="39"/>
      <c r="E1414" s="39"/>
      <c r="F1414" s="49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</row>
    <row r="1415" spans="1:21" ht="15.6">
      <c r="A1415" s="39"/>
      <c r="B1415" s="39"/>
      <c r="C1415" s="39"/>
      <c r="D1415" s="39"/>
      <c r="E1415" s="39"/>
      <c r="F1415" s="49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</row>
    <row r="1416" spans="1:21" ht="15.6">
      <c r="A1416" s="39"/>
      <c r="B1416" s="39"/>
      <c r="C1416" s="39"/>
      <c r="D1416" s="39"/>
      <c r="E1416" s="39"/>
      <c r="F1416" s="49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</row>
    <row r="1417" spans="1:21" ht="15.6">
      <c r="A1417" s="39"/>
      <c r="B1417" s="39"/>
      <c r="C1417" s="39"/>
      <c r="D1417" s="39"/>
      <c r="E1417" s="39"/>
      <c r="F1417" s="49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</row>
    <row r="1418" spans="1:21" ht="15.6">
      <c r="A1418" s="39"/>
      <c r="B1418" s="39"/>
      <c r="C1418" s="39"/>
      <c r="D1418" s="39"/>
      <c r="E1418" s="39"/>
      <c r="F1418" s="49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</row>
    <row r="1419" spans="1:21" ht="15.6">
      <c r="A1419" s="39"/>
      <c r="B1419" s="39"/>
      <c r="C1419" s="39"/>
      <c r="D1419" s="39"/>
      <c r="E1419" s="39"/>
      <c r="F1419" s="49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</row>
    <row r="1420" spans="1:21" ht="15.6">
      <c r="A1420" s="39"/>
      <c r="B1420" s="39"/>
      <c r="C1420" s="39"/>
      <c r="D1420" s="39"/>
      <c r="E1420" s="39"/>
      <c r="F1420" s="49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</row>
    <row r="1421" spans="1:21" ht="15.6">
      <c r="A1421" s="39"/>
      <c r="B1421" s="39"/>
      <c r="C1421" s="39"/>
      <c r="D1421" s="39"/>
      <c r="E1421" s="39"/>
      <c r="F1421" s="49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</row>
    <row r="1422" spans="1:21" ht="15.6">
      <c r="A1422" s="39"/>
      <c r="B1422" s="39"/>
      <c r="C1422" s="39"/>
      <c r="D1422" s="39"/>
      <c r="E1422" s="39"/>
      <c r="F1422" s="49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</row>
    <row r="1423" spans="1:21" ht="15.6">
      <c r="A1423" s="39"/>
      <c r="B1423" s="39"/>
      <c r="C1423" s="39"/>
      <c r="D1423" s="39"/>
      <c r="E1423" s="39"/>
      <c r="F1423" s="49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</row>
    <row r="1424" spans="1:21" ht="15.6">
      <c r="A1424" s="39"/>
      <c r="B1424" s="39"/>
      <c r="C1424" s="39"/>
      <c r="D1424" s="39"/>
      <c r="E1424" s="39"/>
      <c r="F1424" s="49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</row>
    <row r="1425" spans="1:21" ht="15.6">
      <c r="A1425" s="39"/>
      <c r="B1425" s="39"/>
      <c r="C1425" s="39"/>
      <c r="D1425" s="39"/>
      <c r="E1425" s="39"/>
      <c r="F1425" s="49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</row>
    <row r="1426" spans="1:21" ht="15.6">
      <c r="A1426" s="39"/>
      <c r="B1426" s="39"/>
      <c r="C1426" s="39"/>
      <c r="D1426" s="39"/>
      <c r="E1426" s="39"/>
      <c r="F1426" s="49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</row>
    <row r="1427" spans="1:21" ht="15.6">
      <c r="A1427" s="39"/>
      <c r="B1427" s="39"/>
      <c r="C1427" s="39"/>
      <c r="D1427" s="39"/>
      <c r="E1427" s="39"/>
      <c r="F1427" s="49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</row>
    <row r="1428" spans="1:21" ht="15.6">
      <c r="A1428" s="39"/>
      <c r="B1428" s="39"/>
      <c r="C1428" s="39"/>
      <c r="D1428" s="39"/>
      <c r="E1428" s="39"/>
      <c r="F1428" s="49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</row>
    <row r="1429" spans="1:21" ht="15.6">
      <c r="A1429" s="39"/>
      <c r="B1429" s="39"/>
      <c r="C1429" s="39"/>
      <c r="D1429" s="39"/>
      <c r="E1429" s="39"/>
      <c r="F1429" s="49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</row>
    <row r="1430" spans="1:21" ht="15.6">
      <c r="A1430" s="39"/>
      <c r="B1430" s="39"/>
      <c r="C1430" s="39"/>
      <c r="D1430" s="39"/>
      <c r="E1430" s="39"/>
      <c r="F1430" s="49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</row>
    <row r="1431" spans="1:21" ht="15.6">
      <c r="A1431" s="39"/>
      <c r="B1431" s="39"/>
      <c r="C1431" s="39"/>
      <c r="D1431" s="39"/>
      <c r="E1431" s="39"/>
      <c r="F1431" s="49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</row>
    <row r="1432" spans="1:21" ht="15.6">
      <c r="A1432" s="39"/>
      <c r="B1432" s="39"/>
      <c r="C1432" s="39"/>
      <c r="D1432" s="39"/>
      <c r="E1432" s="39"/>
      <c r="F1432" s="49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</row>
    <row r="1433" spans="1:21" ht="15.6">
      <c r="A1433" s="39"/>
      <c r="B1433" s="39"/>
      <c r="C1433" s="39"/>
      <c r="D1433" s="39"/>
      <c r="E1433" s="39"/>
      <c r="F1433" s="49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</row>
    <row r="1434" spans="1:21" ht="15.6">
      <c r="A1434" s="39"/>
      <c r="B1434" s="39"/>
      <c r="C1434" s="39"/>
      <c r="D1434" s="39"/>
      <c r="E1434" s="39"/>
      <c r="F1434" s="49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</row>
    <row r="1435" spans="1:21" ht="15.6">
      <c r="A1435" s="39"/>
      <c r="B1435" s="39"/>
      <c r="C1435" s="39"/>
      <c r="D1435" s="39"/>
      <c r="E1435" s="39"/>
      <c r="F1435" s="49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</row>
    <row r="1436" spans="1:21" ht="15.6">
      <c r="A1436" s="39"/>
      <c r="B1436" s="39"/>
      <c r="C1436" s="39"/>
      <c r="D1436" s="39"/>
      <c r="E1436" s="39"/>
      <c r="F1436" s="49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</row>
    <row r="1437" spans="1:21" ht="15.6">
      <c r="A1437" s="39"/>
      <c r="B1437" s="39"/>
      <c r="C1437" s="39"/>
      <c r="D1437" s="39"/>
      <c r="E1437" s="39"/>
      <c r="F1437" s="49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</row>
    <row r="1438" spans="1:21" ht="15.6">
      <c r="A1438" s="39"/>
      <c r="B1438" s="39"/>
      <c r="C1438" s="39"/>
      <c r="D1438" s="39"/>
      <c r="E1438" s="39"/>
      <c r="F1438" s="49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</row>
    <row r="1439" spans="1:21" ht="15.6">
      <c r="A1439" s="39"/>
      <c r="B1439" s="39"/>
      <c r="C1439" s="39"/>
      <c r="D1439" s="39"/>
      <c r="E1439" s="39"/>
      <c r="F1439" s="49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</row>
    <row r="1440" spans="1:21" ht="15.6">
      <c r="A1440" s="39"/>
      <c r="B1440" s="39"/>
      <c r="C1440" s="39"/>
      <c r="D1440" s="39"/>
      <c r="E1440" s="39"/>
      <c r="F1440" s="49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</row>
    <row r="1441" spans="1:21" ht="15.6">
      <c r="A1441" s="39"/>
      <c r="B1441" s="39"/>
      <c r="C1441" s="39"/>
      <c r="D1441" s="39"/>
      <c r="E1441" s="39"/>
      <c r="F1441" s="49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</row>
    <row r="1442" spans="1:21" ht="15.6">
      <c r="A1442" s="39"/>
      <c r="B1442" s="39"/>
      <c r="C1442" s="39"/>
      <c r="D1442" s="39"/>
      <c r="E1442" s="39"/>
      <c r="F1442" s="49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</row>
    <row r="1443" spans="1:21" ht="15.6">
      <c r="A1443" s="39"/>
      <c r="B1443" s="39"/>
      <c r="C1443" s="39"/>
      <c r="D1443" s="39"/>
      <c r="E1443" s="39"/>
      <c r="F1443" s="49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</row>
    <row r="1444" spans="1:21" ht="15.6">
      <c r="A1444" s="39"/>
      <c r="B1444" s="39"/>
      <c r="C1444" s="39"/>
      <c r="D1444" s="39"/>
      <c r="E1444" s="39"/>
      <c r="F1444" s="49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</row>
    <row r="1445" spans="1:21" ht="15.6">
      <c r="A1445" s="39"/>
      <c r="B1445" s="39"/>
      <c r="C1445" s="39"/>
      <c r="D1445" s="39"/>
      <c r="E1445" s="39"/>
      <c r="F1445" s="49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</row>
    <row r="1446" spans="1:21" ht="15.6">
      <c r="A1446" s="39"/>
      <c r="B1446" s="39"/>
      <c r="C1446" s="39"/>
      <c r="D1446" s="39"/>
      <c r="E1446" s="39"/>
      <c r="F1446" s="49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</row>
    <row r="1447" spans="1:21" ht="15.6">
      <c r="A1447" s="39"/>
      <c r="B1447" s="39"/>
      <c r="C1447" s="39"/>
      <c r="D1447" s="39"/>
      <c r="E1447" s="39"/>
      <c r="F1447" s="49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</row>
    <row r="1448" spans="1:21" ht="15.6">
      <c r="A1448" s="39"/>
      <c r="B1448" s="39"/>
      <c r="C1448" s="39"/>
      <c r="D1448" s="39"/>
      <c r="E1448" s="39"/>
      <c r="F1448" s="49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</row>
    <row r="1449" spans="1:21" ht="15.6">
      <c r="A1449" s="39"/>
      <c r="B1449" s="39"/>
      <c r="C1449" s="39"/>
      <c r="D1449" s="39"/>
      <c r="E1449" s="39"/>
      <c r="F1449" s="49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</row>
    <row r="1450" spans="1:21" ht="15.6">
      <c r="A1450" s="39"/>
      <c r="B1450" s="39"/>
      <c r="C1450" s="39"/>
      <c r="D1450" s="39"/>
      <c r="E1450" s="39"/>
      <c r="F1450" s="49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</row>
    <row r="1451" spans="1:21" ht="15.6">
      <c r="A1451" s="39"/>
      <c r="B1451" s="39"/>
      <c r="C1451" s="39"/>
      <c r="D1451" s="39"/>
      <c r="E1451" s="39"/>
      <c r="F1451" s="49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</row>
    <row r="1452" spans="1:21" ht="15.6">
      <c r="A1452" s="39"/>
      <c r="B1452" s="39"/>
      <c r="C1452" s="39"/>
      <c r="D1452" s="39"/>
      <c r="E1452" s="39"/>
      <c r="F1452" s="49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</row>
    <row r="1453" spans="1:21" ht="15.6">
      <c r="A1453" s="39"/>
      <c r="B1453" s="39"/>
      <c r="C1453" s="39"/>
      <c r="D1453" s="39"/>
      <c r="E1453" s="39"/>
      <c r="F1453" s="49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</row>
    <row r="1454" spans="1:21" ht="15.6">
      <c r="A1454" s="39"/>
      <c r="B1454" s="39"/>
      <c r="C1454" s="39"/>
      <c r="D1454" s="39"/>
      <c r="E1454" s="39"/>
      <c r="F1454" s="49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</row>
    <row r="1455" spans="1:21" ht="15.6">
      <c r="A1455" s="39"/>
      <c r="B1455" s="39"/>
      <c r="C1455" s="39"/>
      <c r="D1455" s="39"/>
      <c r="E1455" s="39"/>
      <c r="F1455" s="49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</row>
    <row r="1456" spans="1:21" ht="15.6">
      <c r="A1456" s="39"/>
      <c r="B1456" s="39"/>
      <c r="C1456" s="39"/>
      <c r="D1456" s="39"/>
      <c r="E1456" s="39"/>
      <c r="F1456" s="49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</row>
    <row r="1457" spans="1:21" ht="15.6">
      <c r="A1457" s="39"/>
      <c r="B1457" s="39"/>
      <c r="C1457" s="39"/>
      <c r="D1457" s="39"/>
      <c r="E1457" s="39"/>
      <c r="F1457" s="49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</row>
    <row r="1458" spans="1:21" ht="15.6">
      <c r="A1458" s="39"/>
      <c r="B1458" s="39"/>
      <c r="C1458" s="39"/>
      <c r="D1458" s="39"/>
      <c r="E1458" s="39"/>
      <c r="F1458" s="49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</row>
    <row r="1459" spans="1:21" ht="15.6">
      <c r="A1459" s="39"/>
      <c r="B1459" s="39"/>
      <c r="C1459" s="39"/>
      <c r="D1459" s="39"/>
      <c r="E1459" s="39"/>
      <c r="F1459" s="49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</row>
    <row r="1460" spans="1:21" ht="15.6">
      <c r="A1460" s="39"/>
      <c r="B1460" s="39"/>
      <c r="C1460" s="39"/>
      <c r="D1460" s="39"/>
      <c r="E1460" s="39"/>
      <c r="F1460" s="49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</row>
    <row r="1461" spans="1:21" ht="15.6">
      <c r="A1461" s="39"/>
      <c r="B1461" s="39"/>
      <c r="C1461" s="39"/>
      <c r="D1461" s="39"/>
      <c r="E1461" s="39"/>
      <c r="F1461" s="49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</row>
    <row r="1462" spans="1:21" ht="15.6">
      <c r="A1462" s="39"/>
      <c r="B1462" s="39"/>
      <c r="C1462" s="39"/>
      <c r="D1462" s="39"/>
      <c r="E1462" s="39"/>
      <c r="F1462" s="49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</row>
    <row r="1463" spans="1:21" ht="15.6">
      <c r="A1463" s="39"/>
      <c r="B1463" s="39"/>
      <c r="C1463" s="39"/>
      <c r="D1463" s="39"/>
      <c r="E1463" s="39"/>
      <c r="F1463" s="49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</row>
    <row r="1464" spans="1:21" ht="15.6">
      <c r="A1464" s="39"/>
      <c r="B1464" s="39"/>
      <c r="C1464" s="39"/>
      <c r="D1464" s="39"/>
      <c r="E1464" s="39"/>
      <c r="F1464" s="49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</row>
    <row r="1465" spans="1:21" ht="15.6">
      <c r="A1465" s="39"/>
      <c r="B1465" s="39"/>
      <c r="C1465" s="39"/>
      <c r="D1465" s="39"/>
      <c r="E1465" s="39"/>
      <c r="F1465" s="49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</row>
    <row r="1466" spans="1:21" ht="15.6">
      <c r="A1466" s="39"/>
      <c r="B1466" s="39"/>
      <c r="C1466" s="39"/>
      <c r="D1466" s="39"/>
      <c r="E1466" s="39"/>
      <c r="F1466" s="49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</row>
    <row r="1467" spans="1:21" ht="15.6">
      <c r="A1467" s="39"/>
      <c r="B1467" s="39"/>
      <c r="C1467" s="39"/>
      <c r="D1467" s="39"/>
      <c r="E1467" s="39"/>
      <c r="F1467" s="49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</row>
    <row r="1468" spans="1:21" ht="15.6">
      <c r="A1468" s="39"/>
      <c r="B1468" s="39"/>
      <c r="C1468" s="39"/>
      <c r="D1468" s="39"/>
      <c r="E1468" s="39"/>
      <c r="F1468" s="49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</row>
    <row r="1469" spans="1:21" ht="15.6">
      <c r="A1469" s="39"/>
      <c r="B1469" s="39"/>
      <c r="C1469" s="39"/>
      <c r="D1469" s="39"/>
      <c r="E1469" s="39"/>
      <c r="F1469" s="49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</row>
    <row r="1470" spans="1:21" ht="15.6">
      <c r="A1470" s="39"/>
      <c r="B1470" s="39"/>
      <c r="C1470" s="39"/>
      <c r="D1470" s="39"/>
      <c r="E1470" s="39"/>
      <c r="F1470" s="49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</row>
    <row r="1471" spans="1:21" ht="15.6">
      <c r="A1471" s="39"/>
      <c r="B1471" s="39"/>
      <c r="C1471" s="39"/>
      <c r="D1471" s="39"/>
      <c r="E1471" s="39"/>
      <c r="F1471" s="49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</row>
    <row r="1472" spans="1:21" ht="15.6">
      <c r="A1472" s="39"/>
      <c r="B1472" s="39"/>
      <c r="C1472" s="39"/>
      <c r="D1472" s="39"/>
      <c r="E1472" s="39"/>
      <c r="F1472" s="49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</row>
    <row r="1473" spans="1:21" ht="15.6">
      <c r="A1473" s="39"/>
      <c r="B1473" s="39"/>
      <c r="C1473" s="39"/>
      <c r="D1473" s="39"/>
      <c r="E1473" s="39"/>
      <c r="F1473" s="49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</row>
    <row r="1474" spans="1:21" ht="15.6">
      <c r="A1474" s="39"/>
      <c r="B1474" s="39"/>
      <c r="C1474" s="39"/>
      <c r="D1474" s="39"/>
      <c r="E1474" s="39"/>
      <c r="F1474" s="49"/>
      <c r="G1474" s="39"/>
      <c r="H1474" s="39"/>
      <c r="I1474" s="39"/>
      <c r="J1474" s="39"/>
      <c r="K1474" s="39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</row>
    <row r="1475" spans="1:21" ht="15.6">
      <c r="A1475" s="39"/>
      <c r="B1475" s="39"/>
      <c r="C1475" s="39"/>
      <c r="D1475" s="39"/>
      <c r="E1475" s="39"/>
      <c r="F1475" s="49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</row>
    <row r="1476" spans="1:21" ht="15.6">
      <c r="A1476" s="39"/>
      <c r="B1476" s="39"/>
      <c r="C1476" s="39"/>
      <c r="D1476" s="39"/>
      <c r="E1476" s="39"/>
      <c r="F1476" s="49"/>
      <c r="G1476" s="39"/>
      <c r="H1476" s="39"/>
      <c r="I1476" s="39"/>
      <c r="J1476" s="39"/>
      <c r="K1476" s="39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</row>
    <row r="1477" spans="1:21" ht="15.6">
      <c r="A1477" s="39"/>
      <c r="B1477" s="39"/>
      <c r="C1477" s="39"/>
      <c r="D1477" s="39"/>
      <c r="E1477" s="39"/>
      <c r="F1477" s="49"/>
      <c r="G1477" s="39"/>
      <c r="H1477" s="39"/>
      <c r="I1477" s="39"/>
      <c r="J1477" s="39"/>
      <c r="K1477" s="39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</row>
    <row r="1478" spans="1:21" ht="15.6">
      <c r="A1478" s="39"/>
      <c r="B1478" s="39"/>
      <c r="C1478" s="39"/>
      <c r="D1478" s="39"/>
      <c r="E1478" s="39"/>
      <c r="F1478" s="49"/>
      <c r="G1478" s="39"/>
      <c r="H1478" s="39"/>
      <c r="I1478" s="39"/>
      <c r="J1478" s="39"/>
      <c r="K1478" s="39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</row>
    <row r="1479" spans="1:21" ht="15.6">
      <c r="A1479" s="39"/>
      <c r="B1479" s="39"/>
      <c r="C1479" s="39"/>
      <c r="D1479" s="39"/>
      <c r="E1479" s="39"/>
      <c r="F1479" s="49"/>
      <c r="G1479" s="39"/>
      <c r="H1479" s="39"/>
      <c r="I1479" s="39"/>
      <c r="J1479" s="39"/>
      <c r="K1479" s="39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</row>
    <row r="1480" spans="1:21" ht="15.6">
      <c r="A1480" s="39"/>
      <c r="B1480" s="39"/>
      <c r="C1480" s="39"/>
      <c r="D1480" s="39"/>
      <c r="E1480" s="39"/>
      <c r="F1480" s="49"/>
      <c r="G1480" s="39"/>
      <c r="H1480" s="39"/>
      <c r="I1480" s="39"/>
      <c r="J1480" s="39"/>
      <c r="K1480" s="39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</row>
    <row r="1481" spans="1:21" ht="15.6">
      <c r="A1481" s="39"/>
      <c r="B1481" s="39"/>
      <c r="C1481" s="39"/>
      <c r="D1481" s="39"/>
      <c r="E1481" s="39"/>
      <c r="F1481" s="49"/>
      <c r="G1481" s="39"/>
      <c r="H1481" s="39"/>
      <c r="I1481" s="39"/>
      <c r="J1481" s="39"/>
      <c r="K1481" s="39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</row>
    <row r="1482" spans="1:21" ht="15.6">
      <c r="A1482" s="39"/>
      <c r="B1482" s="39"/>
      <c r="C1482" s="39"/>
      <c r="D1482" s="39"/>
      <c r="E1482" s="39"/>
      <c r="F1482" s="49"/>
      <c r="G1482" s="39"/>
      <c r="H1482" s="39"/>
      <c r="I1482" s="39"/>
      <c r="J1482" s="39"/>
      <c r="K1482" s="39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</row>
    <row r="1483" spans="1:21" ht="15.6">
      <c r="A1483" s="39"/>
      <c r="B1483" s="39"/>
      <c r="C1483" s="39"/>
      <c r="D1483" s="39"/>
      <c r="E1483" s="39"/>
      <c r="F1483" s="49"/>
      <c r="G1483" s="39"/>
      <c r="H1483" s="39"/>
      <c r="I1483" s="39"/>
      <c r="J1483" s="39"/>
      <c r="K1483" s="39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</row>
    <row r="1484" spans="1:21" ht="15.6">
      <c r="A1484" s="39"/>
      <c r="B1484" s="39"/>
      <c r="C1484" s="39"/>
      <c r="D1484" s="39"/>
      <c r="E1484" s="39"/>
      <c r="F1484" s="49"/>
      <c r="G1484" s="39"/>
      <c r="H1484" s="39"/>
      <c r="I1484" s="39"/>
      <c r="J1484" s="39"/>
      <c r="K1484" s="39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</row>
    <row r="1485" spans="1:21" ht="15.6">
      <c r="A1485" s="39"/>
      <c r="B1485" s="39"/>
      <c r="C1485" s="39"/>
      <c r="D1485" s="39"/>
      <c r="E1485" s="39"/>
      <c r="F1485" s="49"/>
      <c r="G1485" s="39"/>
      <c r="H1485" s="39"/>
      <c r="I1485" s="39"/>
      <c r="J1485" s="39"/>
      <c r="K1485" s="39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</row>
    <row r="1486" spans="1:21" ht="15.6">
      <c r="A1486" s="39"/>
      <c r="B1486" s="39"/>
      <c r="C1486" s="39"/>
      <c r="D1486" s="39"/>
      <c r="E1486" s="39"/>
      <c r="F1486" s="49"/>
      <c r="G1486" s="39"/>
      <c r="H1486" s="39"/>
      <c r="I1486" s="39"/>
      <c r="J1486" s="39"/>
      <c r="K1486" s="39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</row>
    <row r="1487" spans="1:21" ht="15.6">
      <c r="A1487" s="39"/>
      <c r="B1487" s="39"/>
      <c r="C1487" s="39"/>
      <c r="D1487" s="39"/>
      <c r="E1487" s="39"/>
      <c r="F1487" s="49"/>
      <c r="G1487" s="39"/>
      <c r="H1487" s="39"/>
      <c r="I1487" s="39"/>
      <c r="J1487" s="39"/>
      <c r="K1487" s="39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</row>
    <row r="1488" spans="1:21" ht="15.6">
      <c r="A1488" s="39"/>
      <c r="B1488" s="39"/>
      <c r="C1488" s="39"/>
      <c r="D1488" s="39"/>
      <c r="E1488" s="39"/>
      <c r="F1488" s="49"/>
      <c r="G1488" s="39"/>
      <c r="H1488" s="39"/>
      <c r="I1488" s="39"/>
      <c r="J1488" s="39"/>
      <c r="K1488" s="39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</row>
    <row r="1489" spans="1:21" ht="15.6">
      <c r="A1489" s="39"/>
      <c r="B1489" s="39"/>
      <c r="C1489" s="39"/>
      <c r="D1489" s="39"/>
      <c r="E1489" s="39"/>
      <c r="F1489" s="49"/>
      <c r="G1489" s="39"/>
      <c r="H1489" s="39"/>
      <c r="I1489" s="39"/>
      <c r="J1489" s="39"/>
      <c r="K1489" s="39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</row>
    <row r="1490" spans="1:21" ht="15.6">
      <c r="A1490" s="39"/>
      <c r="B1490" s="39"/>
      <c r="C1490" s="39"/>
      <c r="D1490" s="39"/>
      <c r="E1490" s="39"/>
      <c r="F1490" s="49"/>
      <c r="G1490" s="39"/>
      <c r="H1490" s="39"/>
      <c r="I1490" s="39"/>
      <c r="J1490" s="39"/>
      <c r="K1490" s="39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</row>
    <row r="1491" spans="1:21" ht="15.6">
      <c r="A1491" s="39"/>
      <c r="B1491" s="39"/>
      <c r="C1491" s="39"/>
      <c r="D1491" s="39"/>
      <c r="E1491" s="39"/>
      <c r="F1491" s="49"/>
      <c r="G1491" s="39"/>
      <c r="H1491" s="39"/>
      <c r="I1491" s="39"/>
      <c r="J1491" s="39"/>
      <c r="K1491" s="39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</row>
    <row r="1492" spans="1:21" ht="15.6">
      <c r="A1492" s="39"/>
      <c r="B1492" s="39"/>
      <c r="C1492" s="39"/>
      <c r="D1492" s="39"/>
      <c r="E1492" s="39"/>
      <c r="F1492" s="49"/>
      <c r="G1492" s="39"/>
      <c r="H1492" s="39"/>
      <c r="I1492" s="39"/>
      <c r="J1492" s="39"/>
      <c r="K1492" s="39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</row>
    <row r="1493" spans="1:21" ht="15.6">
      <c r="A1493" s="39"/>
      <c r="B1493" s="39"/>
      <c r="C1493" s="39"/>
      <c r="D1493" s="39"/>
      <c r="E1493" s="39"/>
      <c r="F1493" s="49"/>
      <c r="G1493" s="39"/>
      <c r="H1493" s="39"/>
      <c r="I1493" s="39"/>
      <c r="J1493" s="39"/>
      <c r="K1493" s="39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</row>
    <row r="1494" spans="1:21" ht="15.6">
      <c r="A1494" s="39"/>
      <c r="B1494" s="39"/>
      <c r="C1494" s="39"/>
      <c r="D1494" s="39"/>
      <c r="E1494" s="39"/>
      <c r="F1494" s="49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</row>
    <row r="1495" spans="1:21" ht="15.6">
      <c r="A1495" s="39"/>
      <c r="B1495" s="39"/>
      <c r="C1495" s="39"/>
      <c r="D1495" s="39"/>
      <c r="E1495" s="39"/>
      <c r="F1495" s="49"/>
      <c r="G1495" s="39"/>
      <c r="H1495" s="39"/>
      <c r="I1495" s="39"/>
      <c r="J1495" s="39"/>
      <c r="K1495" s="39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</row>
    <row r="1496" spans="1:21" ht="15.6">
      <c r="A1496" s="39"/>
      <c r="B1496" s="39"/>
      <c r="C1496" s="39"/>
      <c r="D1496" s="39"/>
      <c r="E1496" s="39"/>
      <c r="F1496" s="49"/>
      <c r="G1496" s="39"/>
      <c r="H1496" s="39"/>
      <c r="I1496" s="39"/>
      <c r="J1496" s="39"/>
      <c r="K1496" s="39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</row>
    <row r="1497" spans="1:21" ht="15.6">
      <c r="A1497" s="39"/>
      <c r="B1497" s="39"/>
      <c r="C1497" s="39"/>
      <c r="D1497" s="39"/>
      <c r="E1497" s="39"/>
      <c r="F1497" s="49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</row>
    <row r="1498" spans="1:21" ht="15.6">
      <c r="A1498" s="39"/>
      <c r="B1498" s="39"/>
      <c r="C1498" s="39"/>
      <c r="D1498" s="39"/>
      <c r="E1498" s="39"/>
      <c r="F1498" s="49"/>
      <c r="G1498" s="39"/>
      <c r="H1498" s="39"/>
      <c r="I1498" s="39"/>
      <c r="J1498" s="39"/>
      <c r="K1498" s="39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</row>
    <row r="1499" spans="1:21" ht="15.6">
      <c r="A1499" s="39"/>
      <c r="B1499" s="39"/>
      <c r="C1499" s="39"/>
      <c r="D1499" s="39"/>
      <c r="E1499" s="39"/>
      <c r="F1499" s="49"/>
      <c r="G1499" s="39"/>
      <c r="H1499" s="39"/>
      <c r="I1499" s="39"/>
      <c r="J1499" s="39"/>
      <c r="K1499" s="39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</row>
    <row r="1500" spans="1:21" ht="15.6">
      <c r="A1500" s="39"/>
      <c r="B1500" s="39"/>
      <c r="C1500" s="39"/>
      <c r="D1500" s="39"/>
      <c r="E1500" s="39"/>
      <c r="F1500" s="49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</row>
    <row r="1501" spans="1:21" ht="15.6">
      <c r="A1501" s="39"/>
      <c r="B1501" s="39"/>
      <c r="C1501" s="39"/>
      <c r="D1501" s="39"/>
      <c r="E1501" s="39"/>
      <c r="F1501" s="49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</row>
    <row r="1502" spans="1:21" ht="15.6">
      <c r="A1502" s="39"/>
      <c r="B1502" s="39"/>
      <c r="C1502" s="39"/>
      <c r="D1502" s="39"/>
      <c r="E1502" s="39"/>
      <c r="F1502" s="49"/>
      <c r="G1502" s="39"/>
      <c r="H1502" s="39"/>
      <c r="I1502" s="39"/>
      <c r="J1502" s="39"/>
      <c r="K1502" s="39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</row>
    <row r="1503" spans="1:21" ht="15.6">
      <c r="A1503" s="39"/>
      <c r="B1503" s="39"/>
      <c r="C1503" s="39"/>
      <c r="D1503" s="39"/>
      <c r="E1503" s="39"/>
      <c r="F1503" s="49"/>
      <c r="G1503" s="39"/>
      <c r="H1503" s="39"/>
      <c r="I1503" s="39"/>
      <c r="J1503" s="39"/>
      <c r="K1503" s="39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</row>
    <row r="1504" spans="1:21" ht="15.6">
      <c r="A1504" s="39"/>
      <c r="B1504" s="39"/>
      <c r="C1504" s="39"/>
      <c r="D1504" s="39"/>
      <c r="E1504" s="39"/>
      <c r="F1504" s="49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</row>
    <row r="1505" spans="1:21" ht="15.6">
      <c r="A1505" s="39"/>
      <c r="B1505" s="39"/>
      <c r="C1505" s="39"/>
      <c r="D1505" s="39"/>
      <c r="E1505" s="39"/>
      <c r="F1505" s="49"/>
      <c r="G1505" s="39"/>
      <c r="H1505" s="39"/>
      <c r="I1505" s="39"/>
      <c r="J1505" s="39"/>
      <c r="K1505" s="39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</row>
    <row r="1506" spans="1:21" ht="15.6">
      <c r="A1506" s="39"/>
      <c r="B1506" s="39"/>
      <c r="C1506" s="39"/>
      <c r="D1506" s="39"/>
      <c r="E1506" s="39"/>
      <c r="F1506" s="49"/>
      <c r="G1506" s="39"/>
      <c r="H1506" s="39"/>
      <c r="I1506" s="39"/>
      <c r="J1506" s="39"/>
      <c r="K1506" s="39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</row>
    <row r="1507" spans="1:21" ht="15.6">
      <c r="A1507" s="39"/>
      <c r="B1507" s="39"/>
      <c r="C1507" s="39"/>
      <c r="D1507" s="39"/>
      <c r="E1507" s="39"/>
      <c r="F1507" s="49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</row>
    <row r="1508" spans="1:21" ht="15.6">
      <c r="A1508" s="39"/>
      <c r="B1508" s="39"/>
      <c r="C1508" s="39"/>
      <c r="D1508" s="39"/>
      <c r="E1508" s="39"/>
      <c r="F1508" s="49"/>
      <c r="G1508" s="39"/>
      <c r="H1508" s="39"/>
      <c r="I1508" s="39"/>
      <c r="J1508" s="39"/>
      <c r="K1508" s="39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</row>
    <row r="1509" spans="1:21" ht="15.6">
      <c r="A1509" s="39"/>
      <c r="B1509" s="39"/>
      <c r="C1509" s="39"/>
      <c r="D1509" s="39"/>
      <c r="E1509" s="39"/>
      <c r="F1509" s="49"/>
      <c r="G1509" s="39"/>
      <c r="H1509" s="39"/>
      <c r="I1509" s="39"/>
      <c r="J1509" s="39"/>
      <c r="K1509" s="39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</row>
    <row r="1510" spans="1:21" ht="15.6">
      <c r="A1510" s="39"/>
      <c r="B1510" s="39"/>
      <c r="C1510" s="39"/>
      <c r="D1510" s="39"/>
      <c r="E1510" s="39"/>
      <c r="F1510" s="49"/>
      <c r="G1510" s="39"/>
      <c r="H1510" s="39"/>
      <c r="I1510" s="39"/>
      <c r="J1510" s="39"/>
      <c r="K1510" s="39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</row>
    <row r="1511" spans="1:21" ht="15.6">
      <c r="A1511" s="39"/>
      <c r="B1511" s="39"/>
      <c r="C1511" s="39"/>
      <c r="D1511" s="39"/>
      <c r="E1511" s="39"/>
      <c r="F1511" s="49"/>
      <c r="G1511" s="39"/>
      <c r="H1511" s="39"/>
      <c r="I1511" s="39"/>
      <c r="J1511" s="39"/>
      <c r="K1511" s="39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</row>
    <row r="1512" spans="1:21" ht="15.6">
      <c r="A1512" s="39"/>
      <c r="B1512" s="39"/>
      <c r="C1512" s="39"/>
      <c r="D1512" s="39"/>
      <c r="E1512" s="39"/>
      <c r="F1512" s="49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</row>
    <row r="1513" spans="1:21" ht="15.6">
      <c r="A1513" s="39"/>
      <c r="B1513" s="39"/>
      <c r="C1513" s="39"/>
      <c r="D1513" s="39"/>
      <c r="E1513" s="39"/>
      <c r="F1513" s="49"/>
      <c r="G1513" s="39"/>
      <c r="H1513" s="39"/>
      <c r="I1513" s="39"/>
      <c r="J1513" s="39"/>
      <c r="K1513" s="39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</row>
    <row r="1514" spans="1:21" ht="15.6">
      <c r="A1514" s="39"/>
      <c r="B1514" s="39"/>
      <c r="C1514" s="39"/>
      <c r="D1514" s="39"/>
      <c r="E1514" s="39"/>
      <c r="F1514" s="49"/>
      <c r="G1514" s="39"/>
      <c r="H1514" s="39"/>
      <c r="I1514" s="39"/>
      <c r="J1514" s="39"/>
      <c r="K1514" s="39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</row>
    <row r="1515" spans="1:21" ht="15.6">
      <c r="A1515" s="39"/>
      <c r="B1515" s="39"/>
      <c r="C1515" s="39"/>
      <c r="D1515" s="39"/>
      <c r="E1515" s="39"/>
      <c r="F1515" s="49"/>
      <c r="G1515" s="39"/>
      <c r="H1515" s="39"/>
      <c r="I1515" s="39"/>
      <c r="J1515" s="39"/>
      <c r="K1515" s="39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</row>
    <row r="1516" spans="1:21" ht="15.6">
      <c r="A1516" s="39"/>
      <c r="B1516" s="39"/>
      <c r="C1516" s="39"/>
      <c r="D1516" s="39"/>
      <c r="E1516" s="39"/>
      <c r="F1516" s="49"/>
      <c r="G1516" s="39"/>
      <c r="H1516" s="39"/>
      <c r="I1516" s="39"/>
      <c r="J1516" s="39"/>
      <c r="K1516" s="39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</row>
    <row r="1517" spans="1:21" ht="15.6">
      <c r="A1517" s="39"/>
      <c r="B1517" s="39"/>
      <c r="C1517" s="39"/>
      <c r="D1517" s="39"/>
      <c r="E1517" s="39"/>
      <c r="F1517" s="49"/>
      <c r="G1517" s="39"/>
      <c r="H1517" s="39"/>
      <c r="I1517" s="39"/>
      <c r="J1517" s="39"/>
      <c r="K1517" s="39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</row>
    <row r="1518" spans="1:21" ht="15.6">
      <c r="A1518" s="39"/>
      <c r="B1518" s="39"/>
      <c r="C1518" s="39"/>
      <c r="D1518" s="39"/>
      <c r="E1518" s="39"/>
      <c r="F1518" s="49"/>
      <c r="G1518" s="39"/>
      <c r="H1518" s="39"/>
      <c r="I1518" s="39"/>
      <c r="J1518" s="39"/>
      <c r="K1518" s="39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</row>
    <row r="1519" spans="1:21" ht="15.6">
      <c r="A1519" s="39"/>
      <c r="B1519" s="39"/>
      <c r="C1519" s="39"/>
      <c r="D1519" s="39"/>
      <c r="E1519" s="39"/>
      <c r="F1519" s="49"/>
      <c r="G1519" s="39"/>
      <c r="H1519" s="39"/>
      <c r="I1519" s="39"/>
      <c r="J1519" s="39"/>
      <c r="K1519" s="39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</row>
    <row r="1520" spans="1:21" ht="15.6">
      <c r="A1520" s="39"/>
      <c r="B1520" s="39"/>
      <c r="C1520" s="39"/>
      <c r="D1520" s="39"/>
      <c r="E1520" s="39"/>
      <c r="F1520" s="49"/>
      <c r="G1520" s="39"/>
      <c r="H1520" s="39"/>
      <c r="I1520" s="39"/>
      <c r="J1520" s="39"/>
      <c r="K1520" s="39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</row>
    <row r="1521" spans="1:21" ht="15.6">
      <c r="A1521" s="39"/>
      <c r="B1521" s="39"/>
      <c r="C1521" s="39"/>
      <c r="D1521" s="39"/>
      <c r="E1521" s="39"/>
      <c r="F1521" s="49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</row>
    <row r="1522" spans="1:21" ht="15.6">
      <c r="A1522" s="39"/>
      <c r="B1522" s="39"/>
      <c r="C1522" s="39"/>
      <c r="D1522" s="39"/>
      <c r="E1522" s="39"/>
      <c r="F1522" s="49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</row>
    <row r="1523" spans="1:21" ht="15.6">
      <c r="A1523" s="39"/>
      <c r="B1523" s="39"/>
      <c r="C1523" s="39"/>
      <c r="D1523" s="39"/>
      <c r="E1523" s="39"/>
      <c r="F1523" s="49"/>
      <c r="G1523" s="39"/>
      <c r="H1523" s="39"/>
      <c r="I1523" s="39"/>
      <c r="J1523" s="39"/>
      <c r="K1523" s="39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</row>
    <row r="1524" spans="1:21" ht="15.6">
      <c r="A1524" s="39"/>
      <c r="B1524" s="39"/>
      <c r="C1524" s="39"/>
      <c r="D1524" s="39"/>
      <c r="E1524" s="39"/>
      <c r="F1524" s="49"/>
      <c r="G1524" s="39"/>
      <c r="H1524" s="39"/>
      <c r="I1524" s="39"/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</row>
    <row r="1525" spans="1:21" ht="15.6">
      <c r="A1525" s="39"/>
      <c r="B1525" s="39"/>
      <c r="C1525" s="39"/>
      <c r="D1525" s="39"/>
      <c r="E1525" s="39"/>
      <c r="F1525" s="49"/>
      <c r="G1525" s="39"/>
      <c r="H1525" s="39"/>
      <c r="I1525" s="39"/>
      <c r="J1525" s="39"/>
      <c r="K1525" s="39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</row>
    <row r="1526" spans="1:21" ht="15.6">
      <c r="A1526" s="39"/>
      <c r="B1526" s="39"/>
      <c r="C1526" s="39"/>
      <c r="D1526" s="39"/>
      <c r="E1526" s="39"/>
      <c r="F1526" s="49"/>
      <c r="G1526" s="39"/>
      <c r="H1526" s="39"/>
      <c r="I1526" s="39"/>
      <c r="J1526" s="39"/>
      <c r="K1526" s="39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</row>
    <row r="1527" spans="1:21" ht="15.6">
      <c r="A1527" s="39"/>
      <c r="B1527" s="39"/>
      <c r="C1527" s="39"/>
      <c r="D1527" s="39"/>
      <c r="E1527" s="39"/>
      <c r="F1527" s="49"/>
      <c r="G1527" s="39"/>
      <c r="H1527" s="39"/>
      <c r="I1527" s="39"/>
      <c r="J1527" s="39"/>
      <c r="K1527" s="39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</row>
    <row r="1528" spans="1:21" ht="15.6">
      <c r="A1528" s="39"/>
      <c r="B1528" s="39"/>
      <c r="C1528" s="39"/>
      <c r="D1528" s="39"/>
      <c r="E1528" s="39"/>
      <c r="F1528" s="49"/>
      <c r="G1528" s="39"/>
      <c r="H1528" s="39"/>
      <c r="I1528" s="39"/>
      <c r="J1528" s="39"/>
      <c r="K1528" s="39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</row>
    <row r="1529" spans="1:21" ht="15.6">
      <c r="A1529" s="39"/>
      <c r="B1529" s="39"/>
      <c r="C1529" s="39"/>
      <c r="D1529" s="39"/>
      <c r="E1529" s="39"/>
      <c r="F1529" s="49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</row>
    <row r="1530" spans="1:21" ht="15.6">
      <c r="A1530" s="39"/>
      <c r="B1530" s="39"/>
      <c r="C1530" s="39"/>
      <c r="D1530" s="39"/>
      <c r="E1530" s="39"/>
      <c r="F1530" s="49"/>
      <c r="G1530" s="39"/>
      <c r="H1530" s="39"/>
      <c r="I1530" s="39"/>
      <c r="J1530" s="39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</row>
    <row r="1531" spans="1:21" ht="15.6">
      <c r="A1531" s="39"/>
      <c r="B1531" s="39"/>
      <c r="C1531" s="39"/>
      <c r="D1531" s="39"/>
      <c r="E1531" s="39"/>
      <c r="F1531" s="49"/>
      <c r="G1531" s="39"/>
      <c r="H1531" s="39"/>
      <c r="I1531" s="39"/>
      <c r="J1531" s="39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</row>
    <row r="1532" spans="1:21" ht="15.6">
      <c r="A1532" s="39"/>
      <c r="B1532" s="39"/>
      <c r="C1532" s="39"/>
      <c r="D1532" s="39"/>
      <c r="E1532" s="39"/>
      <c r="F1532" s="49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</row>
    <row r="1533" spans="1:21" ht="15.6">
      <c r="A1533" s="39"/>
      <c r="B1533" s="39"/>
      <c r="C1533" s="39"/>
      <c r="D1533" s="39"/>
      <c r="E1533" s="39"/>
      <c r="F1533" s="49"/>
      <c r="G1533" s="39"/>
      <c r="H1533" s="39"/>
      <c r="I1533" s="39"/>
      <c r="J1533" s="39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</row>
    <row r="1534" spans="1:21" ht="15.6">
      <c r="A1534" s="39"/>
      <c r="B1534" s="39"/>
      <c r="C1534" s="39"/>
      <c r="D1534" s="39"/>
      <c r="E1534" s="39"/>
      <c r="F1534" s="49"/>
      <c r="G1534" s="39"/>
      <c r="H1534" s="39"/>
      <c r="I1534" s="39"/>
      <c r="J1534" s="39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</row>
    <row r="1535" spans="1:21" ht="15.6">
      <c r="A1535" s="39"/>
      <c r="B1535" s="39"/>
      <c r="C1535" s="39"/>
      <c r="D1535" s="39"/>
      <c r="E1535" s="39"/>
      <c r="F1535" s="49"/>
      <c r="G1535" s="39"/>
      <c r="H1535" s="39"/>
      <c r="I1535" s="39"/>
      <c r="J1535" s="39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</row>
    <row r="1536" spans="1:21" ht="15.6">
      <c r="A1536" s="39"/>
      <c r="B1536" s="39"/>
      <c r="C1536" s="39"/>
      <c r="D1536" s="39"/>
      <c r="E1536" s="39"/>
      <c r="F1536" s="49"/>
      <c r="G1536" s="39"/>
      <c r="H1536" s="39"/>
      <c r="I1536" s="39"/>
      <c r="J1536" s="39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</row>
    <row r="1537" spans="1:21" ht="15.6">
      <c r="A1537" s="39"/>
      <c r="B1537" s="39"/>
      <c r="C1537" s="39"/>
      <c r="D1537" s="39"/>
      <c r="E1537" s="39"/>
      <c r="F1537" s="49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</row>
    <row r="1538" spans="1:21" ht="15.6">
      <c r="A1538" s="39"/>
      <c r="B1538" s="39"/>
      <c r="C1538" s="39"/>
      <c r="D1538" s="39"/>
      <c r="E1538" s="39"/>
      <c r="F1538" s="49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</row>
    <row r="1539" spans="1:21" ht="15.6">
      <c r="A1539" s="39"/>
      <c r="B1539" s="39"/>
      <c r="C1539" s="39"/>
      <c r="D1539" s="39"/>
      <c r="E1539" s="39"/>
      <c r="F1539" s="49"/>
      <c r="G1539" s="39"/>
      <c r="H1539" s="39"/>
      <c r="I1539" s="39"/>
      <c r="J1539" s="39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</row>
    <row r="1540" spans="1:21" ht="15.6">
      <c r="A1540" s="39"/>
      <c r="B1540" s="39"/>
      <c r="C1540" s="39"/>
      <c r="D1540" s="39"/>
      <c r="E1540" s="39"/>
      <c r="F1540" s="49"/>
      <c r="G1540" s="39"/>
      <c r="H1540" s="39"/>
      <c r="I1540" s="39"/>
      <c r="J1540" s="39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</row>
    <row r="1541" spans="1:21" ht="15.6">
      <c r="A1541" s="39"/>
      <c r="B1541" s="39"/>
      <c r="C1541" s="39"/>
      <c r="D1541" s="39"/>
      <c r="E1541" s="39"/>
      <c r="F1541" s="49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</row>
    <row r="1542" spans="1:21" ht="15.6">
      <c r="A1542" s="39"/>
      <c r="B1542" s="39"/>
      <c r="C1542" s="39"/>
      <c r="D1542" s="39"/>
      <c r="E1542" s="39"/>
      <c r="F1542" s="49"/>
      <c r="G1542" s="39"/>
      <c r="H1542" s="39"/>
      <c r="I1542" s="39"/>
      <c r="J1542" s="39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</row>
    <row r="1543" spans="1:21" ht="15.6">
      <c r="A1543" s="39"/>
      <c r="B1543" s="39"/>
      <c r="C1543" s="39"/>
      <c r="D1543" s="39"/>
      <c r="E1543" s="39"/>
      <c r="F1543" s="49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</row>
    <row r="1544" spans="1:21" ht="15.6">
      <c r="A1544" s="39"/>
      <c r="B1544" s="39"/>
      <c r="C1544" s="39"/>
      <c r="D1544" s="39"/>
      <c r="E1544" s="39"/>
      <c r="F1544" s="49"/>
      <c r="G1544" s="39"/>
      <c r="H1544" s="39"/>
      <c r="I1544" s="39"/>
      <c r="J1544" s="39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</row>
    <row r="1545" spans="1:21" ht="15.6">
      <c r="A1545" s="39"/>
      <c r="B1545" s="39"/>
      <c r="C1545" s="39"/>
      <c r="D1545" s="39"/>
      <c r="E1545" s="39"/>
      <c r="F1545" s="49"/>
      <c r="G1545" s="39"/>
      <c r="H1545" s="39"/>
      <c r="I1545" s="39"/>
      <c r="J1545" s="39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</row>
    <row r="1546" spans="1:21" ht="15.6">
      <c r="A1546" s="39"/>
      <c r="B1546" s="39"/>
      <c r="C1546" s="39"/>
      <c r="D1546" s="39"/>
      <c r="E1546" s="39"/>
      <c r="F1546" s="49"/>
      <c r="G1546" s="39"/>
      <c r="H1546" s="39"/>
      <c r="I1546" s="39"/>
      <c r="J1546" s="39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</row>
    <row r="1547" spans="1:21" ht="15.6">
      <c r="A1547" s="39"/>
      <c r="B1547" s="39"/>
      <c r="C1547" s="39"/>
      <c r="D1547" s="39"/>
      <c r="E1547" s="39"/>
      <c r="F1547" s="49"/>
      <c r="G1547" s="39"/>
      <c r="H1547" s="39"/>
      <c r="I1547" s="39"/>
      <c r="J1547" s="39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</row>
    <row r="1548" spans="1:21" ht="15.6">
      <c r="A1548" s="39"/>
      <c r="B1548" s="39"/>
      <c r="C1548" s="39"/>
      <c r="D1548" s="39"/>
      <c r="E1548" s="39"/>
      <c r="F1548" s="49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</row>
    <row r="1549" spans="1:21" ht="15.6">
      <c r="A1549" s="39"/>
      <c r="B1549" s="39"/>
      <c r="C1549" s="39"/>
      <c r="D1549" s="39"/>
      <c r="E1549" s="39"/>
      <c r="F1549" s="49"/>
      <c r="G1549" s="39"/>
      <c r="H1549" s="39"/>
      <c r="I1549" s="39"/>
      <c r="J1549" s="39"/>
      <c r="K1549" s="39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</row>
    <row r="1550" spans="1:21" ht="15.6">
      <c r="A1550" s="39"/>
      <c r="B1550" s="39"/>
      <c r="C1550" s="39"/>
      <c r="D1550" s="39"/>
      <c r="E1550" s="39"/>
      <c r="F1550" s="49"/>
      <c r="G1550" s="39"/>
      <c r="H1550" s="39"/>
      <c r="I1550" s="39"/>
      <c r="J1550" s="39"/>
      <c r="K1550" s="39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</row>
    <row r="1551" spans="1:21" ht="15.6">
      <c r="A1551" s="39"/>
      <c r="B1551" s="39"/>
      <c r="C1551" s="39"/>
      <c r="D1551" s="39"/>
      <c r="E1551" s="39"/>
      <c r="F1551" s="49"/>
      <c r="G1551" s="39"/>
      <c r="H1551" s="39"/>
      <c r="I1551" s="39"/>
      <c r="J1551" s="39"/>
      <c r="K1551" s="39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</row>
    <row r="1552" spans="1:21" ht="15.6">
      <c r="A1552" s="39"/>
      <c r="B1552" s="39"/>
      <c r="C1552" s="39"/>
      <c r="D1552" s="39"/>
      <c r="E1552" s="39"/>
      <c r="F1552" s="49"/>
      <c r="G1552" s="39"/>
      <c r="H1552" s="39"/>
      <c r="U1552" s="39"/>
    </row>
    <row r="1553" spans="1:21" ht="15.6">
      <c r="A1553" s="39"/>
      <c r="B1553" s="39"/>
      <c r="C1553" s="39"/>
      <c r="D1553" s="39"/>
      <c r="E1553" s="39"/>
      <c r="U1553" s="39"/>
    </row>
    <row r="1554" spans="1:21" ht="15.6">
      <c r="A1554" s="39"/>
      <c r="B1554" s="39"/>
      <c r="C1554" s="39"/>
      <c r="D1554" s="39"/>
      <c r="E1554" s="39"/>
      <c r="U1554" s="39"/>
    </row>
    <row r="1555" spans="1:21" ht="15.6">
      <c r="A1555" s="39"/>
      <c r="B1555" s="39"/>
      <c r="C1555" s="39"/>
      <c r="D1555" s="39"/>
      <c r="E1555" s="39"/>
      <c r="U1555" s="39"/>
    </row>
    <row r="1556" spans="1:21" ht="15.6">
      <c r="A1556" s="39"/>
      <c r="B1556" s="39"/>
      <c r="C1556" s="39"/>
      <c r="D1556" s="39"/>
      <c r="E1556" s="39"/>
      <c r="U1556" s="39"/>
    </row>
    <row r="1557" spans="1:21" ht="15.6">
      <c r="A1557" s="39"/>
      <c r="B1557" s="39"/>
      <c r="C1557" s="39"/>
      <c r="D1557" s="39"/>
      <c r="E1557" s="39"/>
      <c r="U1557" s="39"/>
    </row>
    <row r="1558" spans="1:21" ht="15.6">
      <c r="A1558" s="39"/>
      <c r="B1558" s="39"/>
      <c r="C1558" s="39"/>
      <c r="D1558" s="39"/>
      <c r="E1558" s="39"/>
      <c r="U1558" s="39"/>
    </row>
    <row r="1559" spans="1:21" ht="15.6">
      <c r="A1559" s="39"/>
      <c r="B1559" s="39"/>
      <c r="C1559" s="39"/>
      <c r="D1559" s="39"/>
      <c r="E1559" s="39"/>
      <c r="U1559" s="39"/>
    </row>
    <row r="1560" spans="1:21" ht="15.6">
      <c r="A1560" s="39"/>
      <c r="B1560" s="39"/>
      <c r="C1560" s="39"/>
      <c r="D1560" s="39"/>
      <c r="E1560" s="39"/>
    </row>
    <row r="1561" spans="1:21" ht="15.6">
      <c r="A1561" s="39"/>
      <c r="B1561" s="39"/>
      <c r="C1561" s="39"/>
      <c r="D1561" s="39"/>
      <c r="E1561" s="39"/>
    </row>
    <row r="1562" spans="1:21" ht="15.6">
      <c r="A1562" s="39"/>
      <c r="B1562" s="39"/>
      <c r="C1562" s="39"/>
      <c r="D1562" s="39"/>
      <c r="E1562" s="39"/>
    </row>
  </sheetData>
  <sheetProtection password="9C97" sheet="1" objects="1" scenarios="1"/>
  <sortState ref="B25:U633">
    <sortCondition ref="B25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NOV. 2023</vt:lpstr>
      <vt:lpstr>'NOMINA FIJA NOV. 2023'!Área_de_impresión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2023-11-08T15:03:23Z</dcterms:created>
  <dcterms:modified xsi:type="dcterms:W3CDTF">2023-11-15T16:41:05Z</dcterms:modified>
</cp:coreProperties>
</file>